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65" windowHeight="7035"/>
  </bookViews>
  <sheets>
    <sheet name="dati_grezzi" sheetId="3" r:id="rId1"/>
    <sheet name="initialization_data" sheetId="1" r:id="rId2"/>
  </sheets>
  <calcPr calcId="145621"/>
</workbook>
</file>

<file path=xl/calcChain.xml><?xml version="1.0" encoding="utf-8"?>
<calcChain xmlns="http://schemas.openxmlformats.org/spreadsheetml/2006/main">
  <c r="H34" i="1" l="1"/>
  <c r="O34" i="1" s="1"/>
  <c r="J34" i="1" a="1"/>
  <c r="J34" i="1" s="1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S41" i="3" s="1"/>
  <c r="Q40" i="3"/>
  <c r="P40" i="3"/>
  <c r="S59" i="3"/>
  <c r="S58" i="3"/>
  <c r="S55" i="3"/>
  <c r="S5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S57" i="3"/>
  <c r="S56" i="3"/>
  <c r="S54" i="3"/>
  <c r="S53" i="3"/>
  <c r="S52" i="3"/>
  <c r="S51" i="3"/>
  <c r="S49" i="3"/>
  <c r="S48" i="3"/>
  <c r="S47" i="3"/>
  <c r="S46" i="3"/>
  <c r="S45" i="3"/>
  <c r="S44" i="3"/>
  <c r="S43" i="3"/>
  <c r="S42" i="3"/>
  <c r="S40" i="3"/>
  <c r="H30" i="1"/>
  <c r="O30" i="1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9" i="1"/>
  <c r="L30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9" i="1"/>
  <c r="J30" i="1" a="1"/>
  <c r="J30" i="1"/>
  <c r="K30" i="1"/>
  <c r="P9" i="1"/>
  <c r="K19" i="1"/>
  <c r="K20" i="1"/>
  <c r="K21" i="1"/>
  <c r="K22" i="1"/>
  <c r="K23" i="1"/>
  <c r="K24" i="1"/>
  <c r="K25" i="1"/>
  <c r="K26" i="1"/>
  <c r="S22" i="3"/>
  <c r="Q21" i="3"/>
  <c r="S21" i="3" s="1"/>
  <c r="Q22" i="3"/>
  <c r="Q24" i="3"/>
  <c r="S24" i="3" s="1"/>
  <c r="Q23" i="3"/>
  <c r="S23" i="3" s="1"/>
  <c r="Q20" i="3"/>
  <c r="S20" i="3" s="1"/>
  <c r="Q19" i="3"/>
  <c r="Q18" i="3"/>
  <c r="S18" i="3" s="1"/>
  <c r="Q17" i="3"/>
  <c r="S17" i="3" s="1"/>
  <c r="Q16" i="3"/>
  <c r="S16" i="3" s="1"/>
  <c r="Q15" i="3"/>
  <c r="S15" i="3" s="1"/>
  <c r="Q14" i="3"/>
  <c r="S14" i="3" s="1"/>
  <c r="Q13" i="3"/>
  <c r="S13" i="3" s="1"/>
  <c r="Q12" i="3"/>
  <c r="S12" i="3" s="1"/>
  <c r="Q11" i="3"/>
  <c r="S11" i="3" s="1"/>
  <c r="Q10" i="3"/>
  <c r="S10" i="3" s="1"/>
  <c r="Q9" i="3"/>
  <c r="S9" i="3" s="1"/>
  <c r="Q8" i="3"/>
  <c r="S8" i="3" s="1"/>
  <c r="Q7" i="3"/>
  <c r="S7" i="3" s="1"/>
  <c r="S19" i="3"/>
  <c r="K18" i="1"/>
  <c r="K17" i="1"/>
  <c r="K16" i="1"/>
  <c r="K15" i="1"/>
  <c r="K14" i="1"/>
  <c r="K13" i="1"/>
  <c r="K12" i="1"/>
  <c r="K11" i="1"/>
  <c r="K10" i="1"/>
  <c r="K9" i="1"/>
  <c r="L34" i="1" l="1"/>
  <c r="K34" i="1"/>
</calcChain>
</file>

<file path=xl/comments1.xml><?xml version="1.0" encoding="utf-8"?>
<comments xmlns="http://schemas.openxmlformats.org/spreadsheetml/2006/main">
  <authors>
    <author>Serse Marconi</author>
  </authors>
  <commentList>
    <comment ref="P6" authorId="0">
      <text>
        <r>
          <rPr>
            <b/>
            <sz val="9"/>
            <color indexed="81"/>
            <rFont val="Tahoma"/>
            <charset val="1"/>
          </rPr>
          <t>Sersgio Marconi:</t>
        </r>
        <r>
          <rPr>
            <sz val="9"/>
            <color indexed="81"/>
            <rFont val="Tahoma"/>
            <charset val="1"/>
          </rPr>
          <t xml:space="preserve">
Used 5 cm threshold for diameter classes</t>
        </r>
      </text>
    </comment>
    <comment ref="P39" authorId="0">
      <text>
        <r>
          <rPr>
            <b/>
            <sz val="9"/>
            <color indexed="81"/>
            <rFont val="Tahoma"/>
            <charset val="1"/>
          </rPr>
          <t>Sersgio Marconi:</t>
        </r>
        <r>
          <rPr>
            <sz val="9"/>
            <color indexed="81"/>
            <rFont val="Tahoma"/>
            <charset val="1"/>
          </rPr>
          <t xml:space="preserve">
Used 5 cm threshold for diameter classes</t>
        </r>
      </text>
    </comment>
  </commentList>
</comments>
</file>

<file path=xl/sharedStrings.xml><?xml version="1.0" encoding="utf-8"?>
<sst xmlns="http://schemas.openxmlformats.org/spreadsheetml/2006/main" count="705" uniqueCount="41">
  <si>
    <t>x</t>
  </si>
  <si>
    <t>y</t>
  </si>
  <si>
    <t>Landuse</t>
  </si>
  <si>
    <t>Age</t>
  </si>
  <si>
    <t>Species</t>
  </si>
  <si>
    <t>Management</t>
  </si>
  <si>
    <t>N</t>
  </si>
  <si>
    <t>Stool</t>
  </si>
  <si>
    <t>AvDBH</t>
  </si>
  <si>
    <t>Height</t>
  </si>
  <si>
    <t>Wf</t>
  </si>
  <si>
    <t>Wrc</t>
  </si>
  <si>
    <t>Wrf</t>
  </si>
  <si>
    <t>Ws</t>
  </si>
  <si>
    <t>Wres</t>
  </si>
  <si>
    <t>Lai</t>
  </si>
  <si>
    <t>F</t>
  </si>
  <si>
    <t>T</t>
  </si>
  <si>
    <t>ID</t>
  </si>
  <si>
    <t>specie</t>
  </si>
  <si>
    <t>status 2005</t>
  </si>
  <si>
    <t>DBH 2005</t>
  </si>
  <si>
    <t>DBH 1995</t>
  </si>
  <si>
    <t>altezza (m)</t>
  </si>
  <si>
    <t>età 2005</t>
  </si>
  <si>
    <t>età 1995</t>
  </si>
  <si>
    <t>incremento 10 anni (cm)</t>
  </si>
  <si>
    <t>pisy</t>
  </si>
  <si>
    <t>Pinussylvestris</t>
  </si>
  <si>
    <t>Class</t>
  </si>
  <si>
    <t>function for pines</t>
  </si>
  <si>
    <t>a</t>
  </si>
  <si>
    <t>b</t>
  </si>
  <si>
    <t>equation</t>
  </si>
  <si>
    <t>y=adbh^b</t>
  </si>
  <si>
    <t>Foliage</t>
  </si>
  <si>
    <t xml:space="preserve">data estimated from wood carrots collected in 2005 </t>
  </si>
  <si>
    <t>N_tree</t>
  </si>
  <si>
    <t>stem(over bark)</t>
  </si>
  <si>
    <t>Inizialization data 1995</t>
  </si>
  <si>
    <t>Expected values in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</si>
</sst>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1" applyFont="1" applyAlignment="1">
      <alignment horizontal="left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/>
    <xf numFmtId="2" fontId="0" fillId="0" borderId="11" xfId="0" applyNumberForma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dati_grezzi!$P$7:$P$24</c:f>
              <c:numCache>
                <c:formatCode>General</c:formatCode>
                <c:ptCount val="18"/>
                <c:pt idx="0">
                  <c:v>3</c:v>
                </c:pt>
                <c:pt idx="1">
                  <c:v>13</c:v>
                </c:pt>
                <c:pt idx="2">
                  <c:v>14</c:v>
                </c:pt>
                <c:pt idx="3">
                  <c:v>17</c:v>
                </c:pt>
                <c:pt idx="4">
                  <c:v>24</c:v>
                </c:pt>
                <c:pt idx="5">
                  <c:v>39</c:v>
                </c:pt>
                <c:pt idx="6">
                  <c:v>52</c:v>
                </c:pt>
                <c:pt idx="7">
                  <c:v>48</c:v>
                </c:pt>
                <c:pt idx="8">
                  <c:v>48</c:v>
                </c:pt>
                <c:pt idx="9">
                  <c:v>47</c:v>
                </c:pt>
                <c:pt idx="10">
                  <c:v>29</c:v>
                </c:pt>
                <c:pt idx="11">
                  <c:v>25</c:v>
                </c:pt>
                <c:pt idx="12">
                  <c:v>17</c:v>
                </c:pt>
                <c:pt idx="13">
                  <c:v>12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03456"/>
        <c:axId val="51029696"/>
      </c:barChart>
      <c:catAx>
        <c:axId val="56403456"/>
        <c:scaling>
          <c:orientation val="minMax"/>
        </c:scaling>
        <c:delete val="0"/>
        <c:axPos val="b"/>
        <c:majorTickMark val="out"/>
        <c:minorTickMark val="none"/>
        <c:tickLblPos val="nextTo"/>
        <c:crossAx val="51029696"/>
        <c:crosses val="autoZero"/>
        <c:auto val="1"/>
        <c:lblAlgn val="ctr"/>
        <c:lblOffset val="100"/>
        <c:noMultiLvlLbl val="0"/>
      </c:catAx>
      <c:valAx>
        <c:axId val="5102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40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dati_grezzi!$P$40:$P$59</c:f>
              <c:numCache>
                <c:formatCode>General</c:formatCode>
                <c:ptCount val="20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10</c:v>
                </c:pt>
                <c:pt idx="4">
                  <c:v>16</c:v>
                </c:pt>
                <c:pt idx="5">
                  <c:v>31</c:v>
                </c:pt>
                <c:pt idx="6">
                  <c:v>25</c:v>
                </c:pt>
                <c:pt idx="7">
                  <c:v>45</c:v>
                </c:pt>
                <c:pt idx="8">
                  <c:v>42</c:v>
                </c:pt>
                <c:pt idx="9">
                  <c:v>37</c:v>
                </c:pt>
                <c:pt idx="10">
                  <c:v>51</c:v>
                </c:pt>
                <c:pt idx="11">
                  <c:v>35</c:v>
                </c:pt>
                <c:pt idx="12">
                  <c:v>30</c:v>
                </c:pt>
                <c:pt idx="13">
                  <c:v>24</c:v>
                </c:pt>
                <c:pt idx="14">
                  <c:v>15</c:v>
                </c:pt>
                <c:pt idx="15">
                  <c:v>12</c:v>
                </c:pt>
                <c:pt idx="16">
                  <c:v>8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290816"/>
        <c:axId val="51350912"/>
      </c:barChart>
      <c:catAx>
        <c:axId val="5629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51350912"/>
        <c:crosses val="autoZero"/>
        <c:auto val="1"/>
        <c:lblAlgn val="ctr"/>
        <c:lblOffset val="100"/>
        <c:noMultiLvlLbl val="0"/>
      </c:catAx>
      <c:valAx>
        <c:axId val="5135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29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26</xdr:row>
      <xdr:rowOff>133350</xdr:rowOff>
    </xdr:from>
    <xdr:to>
      <xdr:col>19</xdr:col>
      <xdr:colOff>0</xdr:colOff>
      <xdr:row>36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138112</xdr:colOff>
      <xdr:row>60</xdr:row>
      <xdr:rowOff>9525</xdr:rowOff>
    </xdr:from>
    <xdr:to>
      <xdr:col>18</xdr:col>
      <xdr:colOff>600076</xdr:colOff>
      <xdr:row>72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457200</xdr:colOff>
      <xdr:row>7</xdr:row>
      <xdr:rowOff>85725</xdr:rowOff>
    </xdr:from>
    <xdr:to>
      <xdr:col>26</xdr:col>
      <xdr:colOff>57150</xdr:colOff>
      <xdr:row>42</xdr:row>
      <xdr:rowOff>114300</xdr:rowOff>
    </xdr:to>
    <xdr:sp macro="" textlink="">
      <xdr:nvSpPr>
        <xdr:cNvPr id="9" name="Rounded Rectangle 8"/>
        <xdr:cNvSpPr/>
      </xdr:nvSpPr>
      <xdr:spPr>
        <a:xfrm>
          <a:off x="12868275" y="1419225"/>
          <a:ext cx="3867150" cy="669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050"/>
            <a:t>Protocol used:</a:t>
          </a:r>
        </a:p>
        <a:p>
          <a:pPr algn="l"/>
          <a:endParaRPr lang="it-IT" sz="1050"/>
        </a:p>
        <a:p>
          <a:pPr algn="l"/>
          <a:r>
            <a:rPr lang="it-IT" sz="1050" b="1"/>
            <a:t>Background</a:t>
          </a:r>
          <a:r>
            <a:rPr lang="it-IT" sz="1050"/>
            <a:t>:</a:t>
          </a:r>
        </a:p>
        <a:p>
          <a:pPr algn="l"/>
          <a:r>
            <a:rPr lang="it-IT" sz="1050" baseline="0"/>
            <a:t>Data have been collected in a single sampling in 2005; dbh and height have been collected for both each living tree, and those which have realistically died within  the previous 10 years.   </a:t>
          </a:r>
        </a:p>
        <a:p>
          <a:pPr algn="l"/>
          <a:r>
            <a:rPr lang="it-IT" sz="1050" baseline="0"/>
            <a:t>dbh increments have been sampled only for living trees (minus a  portion of 25 individuals). </a:t>
          </a:r>
        </a:p>
        <a:p>
          <a:pPr algn="l"/>
          <a:r>
            <a:rPr lang="it-IT" sz="1050" baseline="0"/>
            <a:t>In 2005 there are no data with dbh &gt; 5 cm with a  carrot associated to. Moreover 3D-CMCC doesn't account renewal processes. So I've arbitrary decided to apply a threshold of 4 cm as a first dbh class.</a:t>
          </a:r>
        </a:p>
        <a:p>
          <a:pPr algn="l"/>
          <a:endParaRPr lang="it-IT" sz="1050" baseline="0"/>
        </a:p>
        <a:p>
          <a:pPr algn="l"/>
          <a:r>
            <a:rPr lang="it-IT" sz="1050" b="1" baseline="0"/>
            <a:t>Method used to extract data:</a:t>
          </a:r>
        </a:p>
        <a:p>
          <a:pPr algn="l"/>
          <a:r>
            <a:rPr lang="it-IT" sz="1050" i="1" u="sng"/>
            <a:t>tree_number</a:t>
          </a:r>
          <a:r>
            <a:rPr lang="it-IT" sz="1050" i="1"/>
            <a:t>: </a:t>
          </a:r>
          <a:r>
            <a:rPr lang="it-IT" sz="1050" i="0" baseline="0"/>
            <a:t> </a:t>
          </a:r>
          <a:r>
            <a:rPr lang="it-IT" sz="1050" b="1" i="0" baseline="0"/>
            <a:t>2005:</a:t>
          </a:r>
          <a:r>
            <a:rPr lang="it-IT" sz="1050" b="0" i="0" baseline="0"/>
            <a:t> the sum of all living trees with a dbh &gt; 4 cm; trees with no associated increments have been  used (17 of 25) [(400 + 17) / .49]</a:t>
          </a:r>
        </a:p>
        <a:p>
          <a:pPr algn="l"/>
          <a:r>
            <a:rPr lang="it-IT" sz="1050" b="1" i="0" baseline="0"/>
            <a:t>1995:</a:t>
          </a:r>
          <a:r>
            <a:rPr lang="it-IT" sz="1050" b="0" i="0" baseline="0"/>
            <a:t> the sum of all trees, both dead and living. Again a dbh threshold of 4 cm has been applied.  [(400 + 17 + 44) /.49]</a:t>
          </a:r>
        </a:p>
        <a:p>
          <a:pPr algn="l"/>
          <a:r>
            <a:rPr lang="it-IT" sz="1050" b="0" i="1" u="sng" baseline="0"/>
            <a:t>AvDBH:</a:t>
          </a:r>
          <a:r>
            <a:rPr lang="it-IT" sz="1050" b="0" i="0" u="none" baseline="0"/>
            <a:t> individual tree dbhs have been clustered in diametral classes of 2 cm. The average diamter has been calculated as the weighted mean of those classes. [This method may be in contrast with the common used definition of average dbh, which is "the diameter of the plant with the average individual basal area"]</a:t>
          </a:r>
        </a:p>
        <a:p>
          <a:pPr algn="l"/>
          <a:r>
            <a:rPr lang="it-IT" sz="1050" b="0" i="1" u="sng" baseline="0"/>
            <a:t>Stem and foliage biomass: </a:t>
          </a:r>
          <a:r>
            <a:rPr lang="it-IT" sz="1050" b="0" i="0" u="none" baseline="0"/>
            <a:t>calculated using a simple power function W = aD^b, whose </a:t>
          </a:r>
          <a:r>
            <a:rPr lang="it-IT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parameters </a:t>
          </a:r>
          <a:r>
            <a:rPr lang="it-IT" sz="1050" b="0" i="0" u="none" baseline="0"/>
            <a:t>a and b have been taken from Cienciala 2006 [Stem(over bark)]</a:t>
          </a:r>
        </a:p>
        <a:p>
          <a:pPr algn="l"/>
          <a:endParaRPr lang="it-IT" sz="1050" b="0" i="0" u="none" baseline="0"/>
        </a:p>
        <a:p>
          <a:pPr algn="l"/>
          <a:r>
            <a:rPr lang="it-IT" sz="1050" b="1" i="0" u="none" baseline="0"/>
            <a:t>Results:</a:t>
          </a:r>
        </a:p>
        <a:p>
          <a:pPr algn="l"/>
          <a:r>
            <a:rPr lang="it-IT" sz="1050" b="0" i="0" u="none" baseline="0"/>
            <a:t>Trends now apparently correspond. Maybe the use of all trees in 2005 may have reduced of about 10% the average dbh, while the use of a dbh threshold may have reduced the number of dead trees from 127 to 106 trees per hectar. </a:t>
          </a:r>
          <a:endParaRPr lang="it-IT" sz="1050" b="0" i="1" u="sng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88"/>
  <sheetViews>
    <sheetView tabSelected="1" workbookViewId="0">
      <selection activeCell="U4" sqref="U4:U5"/>
    </sheetView>
  </sheetViews>
  <sheetFormatPr defaultRowHeight="15" x14ac:dyDescent="0.25"/>
  <cols>
    <col min="1" max="1" width="5" style="8" bestFit="1" customWidth="1"/>
    <col min="2" max="2" width="6.7109375" style="8" bestFit="1" customWidth="1"/>
    <col min="3" max="3" width="10.7109375" style="8" bestFit="1" customWidth="1"/>
    <col min="4" max="4" width="9.140625" style="8"/>
    <col min="5" max="5" width="11" style="8" bestFit="1" customWidth="1"/>
    <col min="6" max="6" width="12" style="8" bestFit="1" customWidth="1"/>
    <col min="7" max="8" width="8.28515625" style="8" bestFit="1" customWidth="1"/>
    <col min="9" max="9" width="22.85546875" style="8" bestFit="1" customWidth="1"/>
    <col min="16" max="16" width="9.140625" style="8"/>
    <col min="19" max="19" width="9.85546875" customWidth="1"/>
  </cols>
  <sheetData>
    <row r="1" spans="1:21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21" x14ac:dyDescent="0.25">
      <c r="A2" s="8">
        <v>3039</v>
      </c>
      <c r="B2" s="8" t="s">
        <v>27</v>
      </c>
      <c r="C2" s="8">
        <v>1</v>
      </c>
      <c r="D2" s="8">
        <v>6.5</v>
      </c>
      <c r="E2" s="8">
        <v>4.5196702000000002</v>
      </c>
      <c r="F2" s="8">
        <v>6.5</v>
      </c>
      <c r="G2" s="8">
        <v>18</v>
      </c>
      <c r="H2" s="8">
        <v>8</v>
      </c>
      <c r="I2" s="8">
        <v>1.9803297999999998</v>
      </c>
    </row>
    <row r="3" spans="1:21" x14ac:dyDescent="0.25">
      <c r="A3" s="8">
        <v>3051</v>
      </c>
      <c r="B3" s="8" t="s">
        <v>27</v>
      </c>
      <c r="C3" s="8">
        <v>1</v>
      </c>
      <c r="D3" s="8">
        <v>6.5</v>
      </c>
      <c r="E3" s="8">
        <v>4.6801294000000002</v>
      </c>
      <c r="F3" s="8">
        <v>7</v>
      </c>
      <c r="G3" s="8">
        <v>18</v>
      </c>
      <c r="H3" s="8">
        <v>8</v>
      </c>
      <c r="I3" s="8">
        <v>1.8198705999999998</v>
      </c>
    </row>
    <row r="4" spans="1:21" x14ac:dyDescent="0.25">
      <c r="A4" s="8">
        <v>3572</v>
      </c>
      <c r="B4" s="8" t="s">
        <v>27</v>
      </c>
      <c r="C4" s="8">
        <v>1</v>
      </c>
      <c r="D4" s="8">
        <v>11.5</v>
      </c>
      <c r="E4" s="8">
        <v>5.7778162000000002</v>
      </c>
      <c r="F4" s="8">
        <v>6.5</v>
      </c>
      <c r="G4" s="8">
        <v>16</v>
      </c>
      <c r="H4" s="8">
        <v>6</v>
      </c>
      <c r="I4" s="8">
        <v>5.7221837999999998</v>
      </c>
    </row>
    <row r="5" spans="1:21" x14ac:dyDescent="0.25">
      <c r="A5" s="8">
        <v>3648</v>
      </c>
      <c r="B5" s="8" t="s">
        <v>27</v>
      </c>
      <c r="C5" s="8">
        <v>1</v>
      </c>
      <c r="D5" s="8">
        <v>10</v>
      </c>
      <c r="E5" s="8">
        <v>6.3667743999999988</v>
      </c>
      <c r="F5" s="8">
        <v>9</v>
      </c>
      <c r="G5" s="8">
        <v>21</v>
      </c>
      <c r="H5" s="8">
        <v>11</v>
      </c>
      <c r="I5" s="8">
        <v>3.6332256000000012</v>
      </c>
      <c r="M5" s="29">
        <v>1995</v>
      </c>
    </row>
    <row r="6" spans="1:21" x14ac:dyDescent="0.25">
      <c r="A6" s="8">
        <v>3633</v>
      </c>
      <c r="B6" s="8" t="s">
        <v>27</v>
      </c>
      <c r="C6" s="8">
        <v>1</v>
      </c>
      <c r="D6" s="8">
        <v>8</v>
      </c>
      <c r="E6" s="8">
        <v>6.3941253999999983</v>
      </c>
      <c r="F6" s="8">
        <v>6</v>
      </c>
      <c r="G6" s="8">
        <v>22</v>
      </c>
      <c r="H6" s="8">
        <v>12</v>
      </c>
      <c r="I6" s="8">
        <v>1.6058746000000017</v>
      </c>
      <c r="J6" s="3"/>
      <c r="K6" s="3"/>
      <c r="L6" s="3"/>
      <c r="M6" s="3" t="s">
        <v>3</v>
      </c>
      <c r="N6" s="3" t="s">
        <v>4</v>
      </c>
      <c r="O6" s="3" t="s">
        <v>5</v>
      </c>
      <c r="P6" s="3" t="s">
        <v>6</v>
      </c>
      <c r="Q6" s="3" t="s">
        <v>8</v>
      </c>
      <c r="R6" s="3" t="s">
        <v>29</v>
      </c>
      <c r="S6" s="3" t="s">
        <v>9</v>
      </c>
      <c r="U6" s="3"/>
    </row>
    <row r="7" spans="1:21" x14ac:dyDescent="0.25">
      <c r="A7" s="8">
        <v>3646</v>
      </c>
      <c r="B7" s="8" t="s">
        <v>27</v>
      </c>
      <c r="C7" s="8">
        <v>1</v>
      </c>
      <c r="D7" s="8">
        <v>8.5</v>
      </c>
      <c r="E7" s="8">
        <v>6.4087125999999994</v>
      </c>
      <c r="F7" s="8">
        <v>6</v>
      </c>
      <c r="G7" s="8">
        <v>24</v>
      </c>
      <c r="H7" s="8">
        <v>14</v>
      </c>
      <c r="I7" s="8">
        <v>2.0912874000000006</v>
      </c>
      <c r="J7" s="3"/>
      <c r="K7" s="3"/>
      <c r="L7" s="3"/>
      <c r="M7" s="3">
        <v>27</v>
      </c>
      <c r="N7" s="3" t="s">
        <v>28</v>
      </c>
      <c r="O7" s="3" t="s">
        <v>17</v>
      </c>
      <c r="P7" s="3">
        <f>COUNTIFS(E2:E401,"&lt;=6",E2:E401,"&gt;4")</f>
        <v>3</v>
      </c>
      <c r="Q7" s="3">
        <f>AVERAGEIFS(E2:E401,E2:E401,"&lt;6",E2:E401,"&gt;4")</f>
        <v>4.9925386000000005</v>
      </c>
      <c r="R7" s="3">
        <v>5</v>
      </c>
      <c r="S7" s="3">
        <f>6.8937*LN(Q7)-5.4273</f>
        <v>5.6573871228772381</v>
      </c>
      <c r="U7" s="3"/>
    </row>
    <row r="8" spans="1:21" x14ac:dyDescent="0.25">
      <c r="A8" s="8">
        <v>3573</v>
      </c>
      <c r="B8" s="8" t="s">
        <v>27</v>
      </c>
      <c r="C8" s="8">
        <v>1</v>
      </c>
      <c r="D8" s="8">
        <v>9</v>
      </c>
      <c r="E8" s="8">
        <v>6.4670613999999986</v>
      </c>
      <c r="F8" s="8">
        <v>8</v>
      </c>
      <c r="G8" s="8">
        <v>23</v>
      </c>
      <c r="H8" s="8">
        <v>13</v>
      </c>
      <c r="I8" s="8">
        <v>2.5329386000000014</v>
      </c>
      <c r="J8" s="3"/>
      <c r="K8" s="3"/>
      <c r="L8" s="3"/>
      <c r="M8" s="3">
        <v>27</v>
      </c>
      <c r="N8" s="3" t="s">
        <v>28</v>
      </c>
      <c r="O8" s="3" t="s">
        <v>17</v>
      </c>
      <c r="P8" s="3">
        <f>COUNTIFS(E2:E401,"&lt;=8",E2:E401,"&gt;6")</f>
        <v>13</v>
      </c>
      <c r="Q8" s="3">
        <f>AVERAGEIFS(E2:E401,E2:E401,"&lt;8",E2:E401,"&gt;6")</f>
        <v>6.9196853846153834</v>
      </c>
      <c r="R8" s="3">
        <v>7</v>
      </c>
      <c r="S8" s="3">
        <f>6.8937*LN(Q8)-5.4273</f>
        <v>7.9076685643061539</v>
      </c>
      <c r="U8" s="3"/>
    </row>
    <row r="9" spans="1:21" x14ac:dyDescent="0.25">
      <c r="A9" s="8">
        <v>3220</v>
      </c>
      <c r="B9" s="8" t="s">
        <v>27</v>
      </c>
      <c r="C9" s="8">
        <v>1</v>
      </c>
      <c r="D9" s="8">
        <v>9.5</v>
      </c>
      <c r="E9" s="8">
        <v>6.5946993999999997</v>
      </c>
      <c r="F9" s="8">
        <v>9.5</v>
      </c>
      <c r="G9" s="8">
        <v>25</v>
      </c>
      <c r="H9" s="8">
        <v>15</v>
      </c>
      <c r="I9" s="8">
        <v>2.9053006000000003</v>
      </c>
      <c r="J9" s="3"/>
      <c r="K9" s="3"/>
      <c r="L9" s="3"/>
      <c r="M9" s="3">
        <v>27</v>
      </c>
      <c r="N9" s="3" t="s">
        <v>28</v>
      </c>
      <c r="O9" s="3" t="s">
        <v>17</v>
      </c>
      <c r="P9" s="3">
        <f>COUNTIFS(E2:E401,"&lt;=10",E2:E401,"&gt;8")</f>
        <v>14</v>
      </c>
      <c r="Q9" s="3">
        <f>AVERAGEIFS(E2:E401,E2:E401,"&lt;10",E2:E401,"&gt;8")</f>
        <v>9.1499340142857157</v>
      </c>
      <c r="R9" s="3">
        <v>9</v>
      </c>
      <c r="S9" s="3">
        <f>6.8937*LN(Q9)-5.4273</f>
        <v>9.8336054031783142</v>
      </c>
      <c r="U9" s="3"/>
    </row>
    <row r="10" spans="1:21" x14ac:dyDescent="0.25">
      <c r="A10" s="8">
        <v>3643</v>
      </c>
      <c r="B10" s="8" t="s">
        <v>27</v>
      </c>
      <c r="C10" s="8">
        <v>1</v>
      </c>
      <c r="D10" s="8">
        <v>10</v>
      </c>
      <c r="E10" s="8">
        <v>6.6184035999999988</v>
      </c>
      <c r="F10" s="8">
        <v>7</v>
      </c>
      <c r="G10" s="8">
        <v>27</v>
      </c>
      <c r="H10" s="8">
        <v>17</v>
      </c>
      <c r="I10" s="8">
        <v>3.3815964000000012</v>
      </c>
      <c r="J10" s="3"/>
      <c r="K10" s="3"/>
      <c r="L10" s="3"/>
      <c r="M10" s="3">
        <v>27</v>
      </c>
      <c r="N10" s="3" t="s">
        <v>28</v>
      </c>
      <c r="O10" s="3" t="s">
        <v>17</v>
      </c>
      <c r="P10" s="3">
        <f>COUNTIFS(E2:E401,"&lt;=12",E2:E401,"&gt;10")</f>
        <v>17</v>
      </c>
      <c r="Q10" s="3">
        <f>AVERAGEIFS(E2:E401,E2:E401,"&lt;12",E2:E401,"&gt;10")</f>
        <v>11.138075905882355</v>
      </c>
      <c r="R10" s="3">
        <v>11</v>
      </c>
      <c r="S10" s="3">
        <f>6.8937*LN(Q10)-5.4273</f>
        <v>11.189064223399672</v>
      </c>
      <c r="U10" s="3"/>
    </row>
    <row r="11" spans="1:21" x14ac:dyDescent="0.25">
      <c r="A11" s="8">
        <v>3560</v>
      </c>
      <c r="B11" s="8" t="s">
        <v>27</v>
      </c>
      <c r="C11" s="8">
        <v>1</v>
      </c>
      <c r="D11" s="8">
        <v>7.5</v>
      </c>
      <c r="E11" s="8">
        <v>6.7843330000000002</v>
      </c>
      <c r="F11" s="8">
        <v>9</v>
      </c>
      <c r="G11" s="8">
        <v>37</v>
      </c>
      <c r="H11" s="8">
        <v>27</v>
      </c>
      <c r="I11" s="8">
        <v>0.71566699999999983</v>
      </c>
      <c r="J11" s="3"/>
      <c r="K11" s="3"/>
      <c r="L11" s="3"/>
      <c r="M11" s="3">
        <v>27</v>
      </c>
      <c r="N11" s="3" t="s">
        <v>28</v>
      </c>
      <c r="O11" s="3" t="s">
        <v>17</v>
      </c>
      <c r="P11" s="3">
        <f>COUNTIFS(E2:E401,"&gt;12",E2:E401,"&lt;=14")</f>
        <v>24</v>
      </c>
      <c r="Q11" s="3">
        <f>AVERAGEIFS(E2:E401,E2:E401,"&gt;12",E2:E401,"&lt;14")</f>
        <v>13.201941249999999</v>
      </c>
      <c r="R11" s="3">
        <v>13</v>
      </c>
      <c r="S11" s="3">
        <f>6.8937*LN(Q11)-5.4273</f>
        <v>12.360954501432168</v>
      </c>
      <c r="U11" s="3"/>
    </row>
    <row r="12" spans="1:21" x14ac:dyDescent="0.25">
      <c r="A12" s="8">
        <v>3112</v>
      </c>
      <c r="B12" s="8" t="s">
        <v>27</v>
      </c>
      <c r="C12" s="8">
        <v>1</v>
      </c>
      <c r="D12" s="8">
        <v>9</v>
      </c>
      <c r="E12" s="8">
        <v>7.0140814000000002</v>
      </c>
      <c r="F12" s="8">
        <v>7</v>
      </c>
      <c r="G12" s="8">
        <v>21</v>
      </c>
      <c r="H12" s="8">
        <v>11</v>
      </c>
      <c r="I12" s="8">
        <v>1.9859185999999998</v>
      </c>
      <c r="J12" s="3"/>
      <c r="K12" s="3"/>
      <c r="L12" s="3"/>
      <c r="M12" s="3">
        <v>27</v>
      </c>
      <c r="N12" s="3" t="s">
        <v>28</v>
      </c>
      <c r="O12" s="3" t="s">
        <v>17</v>
      </c>
      <c r="P12" s="3">
        <f>COUNTIFS(E2:E401,"&gt;14",E2:E401,"&lt;=16")</f>
        <v>39</v>
      </c>
      <c r="Q12" s="3">
        <f>AVERAGEIFS(E2:E401,E2:E401,"&gt;14",E2:E401,"&lt;16")</f>
        <v>14.839693415384618</v>
      </c>
      <c r="R12" s="3">
        <v>15</v>
      </c>
      <c r="S12" s="3">
        <f>6.8937*LN(Q12)-5.4273</f>
        <v>13.167115464335094</v>
      </c>
      <c r="U12" s="3"/>
    </row>
    <row r="13" spans="1:21" x14ac:dyDescent="0.25">
      <c r="A13" s="8">
        <v>3279</v>
      </c>
      <c r="B13" s="8" t="s">
        <v>27</v>
      </c>
      <c r="C13" s="8">
        <v>1</v>
      </c>
      <c r="D13" s="8">
        <v>9</v>
      </c>
      <c r="E13" s="8">
        <v>7.1143684</v>
      </c>
      <c r="F13" s="8">
        <v>5.5</v>
      </c>
      <c r="G13" s="8">
        <v>30</v>
      </c>
      <c r="H13" s="8">
        <v>20</v>
      </c>
      <c r="I13" s="8">
        <v>1.8856316</v>
      </c>
      <c r="J13" s="3"/>
      <c r="K13" s="3"/>
      <c r="L13" s="3"/>
      <c r="M13" s="3">
        <v>27</v>
      </c>
      <c r="N13" s="3" t="s">
        <v>28</v>
      </c>
      <c r="O13" s="3" t="s">
        <v>17</v>
      </c>
      <c r="P13" s="3">
        <f>COUNTIFS(E2:E401,"&gt;16",E2:E401,"&lt;=18")</f>
        <v>52</v>
      </c>
      <c r="Q13" s="3">
        <f>AVERAGEIFS(E2:E401,E2:E401,"&gt;16",E2:E401,"&lt;18")</f>
        <v>16.999791238461537</v>
      </c>
      <c r="R13" s="3">
        <v>17</v>
      </c>
      <c r="S13" s="3">
        <f>6.8937*LN(Q13)-5.4273</f>
        <v>14.10393817414068</v>
      </c>
      <c r="U13" s="3"/>
    </row>
    <row r="14" spans="1:21" x14ac:dyDescent="0.25">
      <c r="A14" s="8">
        <v>3660</v>
      </c>
      <c r="B14" s="8" t="s">
        <v>27</v>
      </c>
      <c r="C14" s="8">
        <v>1</v>
      </c>
      <c r="D14" s="8">
        <v>9.5</v>
      </c>
      <c r="E14" s="8">
        <v>7.3258828000000005</v>
      </c>
      <c r="F14" s="8">
        <v>5</v>
      </c>
      <c r="G14" s="8">
        <v>25</v>
      </c>
      <c r="H14" s="8">
        <v>15</v>
      </c>
      <c r="I14" s="8">
        <v>2.1741171999999995</v>
      </c>
      <c r="J14" s="3"/>
      <c r="K14" s="3"/>
      <c r="L14" s="3"/>
      <c r="M14" s="3">
        <v>27</v>
      </c>
      <c r="N14" s="3" t="s">
        <v>28</v>
      </c>
      <c r="O14" s="3" t="s">
        <v>17</v>
      </c>
      <c r="P14" s="3">
        <f>COUNTIFS(E2:E401,"&lt;=20",E2:E401,"&gt;18")</f>
        <v>48</v>
      </c>
      <c r="Q14" s="3">
        <f>AVERAGEIFS(E2:E401,E2:E401,"&lt;20",E2:E401,"&gt;18")</f>
        <v>19.047647687500003</v>
      </c>
      <c r="R14" s="3">
        <v>19</v>
      </c>
      <c r="S14" s="3">
        <f>6.8937*LN(Q14)-5.4273</f>
        <v>14.888045184780779</v>
      </c>
      <c r="U14" s="3"/>
    </row>
    <row r="15" spans="1:21" x14ac:dyDescent="0.25">
      <c r="A15" s="8">
        <v>3511</v>
      </c>
      <c r="B15" s="8" t="s">
        <v>27</v>
      </c>
      <c r="C15" s="8">
        <v>1</v>
      </c>
      <c r="D15" s="8">
        <v>7.5</v>
      </c>
      <c r="E15" s="8">
        <v>7.4425804000000007</v>
      </c>
      <c r="F15" s="8">
        <v>7.3</v>
      </c>
      <c r="G15" s="8">
        <v>36</v>
      </c>
      <c r="H15" s="8">
        <v>26</v>
      </c>
      <c r="I15" s="8">
        <v>5.7419599999999349E-2</v>
      </c>
      <c r="J15" s="3"/>
      <c r="K15" s="3"/>
      <c r="L15" s="3"/>
      <c r="M15" s="3">
        <v>27</v>
      </c>
      <c r="N15" s="3" t="s">
        <v>28</v>
      </c>
      <c r="O15" s="3" t="s">
        <v>17</v>
      </c>
      <c r="P15" s="3">
        <f>COUNTIFS(E2:E401,"&lt;=22",E2:E401,"&gt;20")</f>
        <v>48</v>
      </c>
      <c r="Q15" s="3">
        <f>AVERAGEIFS(E2:E401,E2:E401,"&lt;22",E2:E401,"&gt;20")</f>
        <v>21.061365062499998</v>
      </c>
      <c r="R15" s="3">
        <v>21</v>
      </c>
      <c r="S15" s="3">
        <f>6.8937*LN(Q15)-5.4273</f>
        <v>15.580839350444595</v>
      </c>
      <c r="U15" s="3"/>
    </row>
    <row r="16" spans="1:21" x14ac:dyDescent="0.25">
      <c r="A16" s="8">
        <v>3642</v>
      </c>
      <c r="B16" s="8" t="s">
        <v>27</v>
      </c>
      <c r="C16" s="8">
        <v>1</v>
      </c>
      <c r="D16" s="8">
        <v>9</v>
      </c>
      <c r="E16" s="8">
        <v>7.5264568000000001</v>
      </c>
      <c r="F16" s="8">
        <v>9</v>
      </c>
      <c r="G16" s="8">
        <v>26</v>
      </c>
      <c r="H16" s="8">
        <v>16</v>
      </c>
      <c r="I16" s="8">
        <v>1.4735431999999999</v>
      </c>
      <c r="J16" s="3"/>
      <c r="K16" s="3"/>
      <c r="L16" s="3"/>
      <c r="M16" s="3">
        <v>27</v>
      </c>
      <c r="N16" s="3" t="s">
        <v>28</v>
      </c>
      <c r="O16" s="3" t="s">
        <v>17</v>
      </c>
      <c r="P16" s="3">
        <f>COUNTIFS(E2:E401,"&lt;=24",E2:E401,"&gt;22")</f>
        <v>47</v>
      </c>
      <c r="Q16" s="3">
        <f>AVERAGEIFS(E2:E401,E2:E401,"&lt;24",E2:E401,"&gt;22")</f>
        <v>22.900356910638301</v>
      </c>
      <c r="R16" s="3">
        <v>23</v>
      </c>
      <c r="S16" s="3">
        <f>6.8937*LN(Q16)-5.4273</f>
        <v>16.157925962062162</v>
      </c>
      <c r="U16" s="3"/>
    </row>
    <row r="17" spans="1:21" x14ac:dyDescent="0.25">
      <c r="A17" s="8">
        <v>3118</v>
      </c>
      <c r="B17" s="8" t="s">
        <v>27</v>
      </c>
      <c r="C17" s="8">
        <v>1</v>
      </c>
      <c r="D17" s="8">
        <v>9.5</v>
      </c>
      <c r="E17" s="8">
        <v>7.8984304000000005</v>
      </c>
      <c r="F17" s="8">
        <v>9</v>
      </c>
      <c r="G17" s="8">
        <v>23</v>
      </c>
      <c r="H17" s="8">
        <v>13</v>
      </c>
      <c r="I17" s="8">
        <v>1.6015695999999995</v>
      </c>
      <c r="J17" s="3"/>
      <c r="K17" s="3"/>
      <c r="L17" s="3"/>
      <c r="M17" s="3">
        <v>27</v>
      </c>
      <c r="N17" s="3" t="s">
        <v>28</v>
      </c>
      <c r="O17" s="3" t="s">
        <v>17</v>
      </c>
      <c r="P17" s="3">
        <f>COUNTIFS(E2:E411,"&lt;=26",E2:E411,"&gt;24")</f>
        <v>29</v>
      </c>
      <c r="Q17" s="3">
        <f>AVERAGEIFS(E2:E411,E2:E411,"&lt;26",E2:E411,"&gt;24")</f>
        <v>25.101329137931035</v>
      </c>
      <c r="R17" s="3">
        <v>25</v>
      </c>
      <c r="S17" s="3">
        <f>6.8937*LN(Q17)-5.4273</f>
        <v>16.790549108193229</v>
      </c>
      <c r="U17" s="3"/>
    </row>
    <row r="18" spans="1:21" x14ac:dyDescent="0.25">
      <c r="A18" s="8">
        <v>3650</v>
      </c>
      <c r="B18" s="8" t="s">
        <v>27</v>
      </c>
      <c r="C18" s="8">
        <v>1</v>
      </c>
      <c r="D18" s="8">
        <v>12</v>
      </c>
      <c r="E18" s="8">
        <v>8.1701169999999994</v>
      </c>
      <c r="F18" s="8">
        <v>7.5</v>
      </c>
      <c r="G18" s="8">
        <v>28</v>
      </c>
      <c r="H18" s="8">
        <v>18</v>
      </c>
      <c r="I18" s="8">
        <v>3.8298830000000006</v>
      </c>
      <c r="J18" s="3"/>
      <c r="K18" s="3"/>
      <c r="L18" s="3"/>
      <c r="M18" s="3">
        <v>27</v>
      </c>
      <c r="N18" s="3" t="s">
        <v>28</v>
      </c>
      <c r="O18" s="3" t="s">
        <v>17</v>
      </c>
      <c r="P18" s="3">
        <f>COUNTIFS(E2:E411,"&lt;=28",E2:E411,"&gt;26")</f>
        <v>25</v>
      </c>
      <c r="Q18" s="3">
        <f>AVERAGEIFS(E2:E411,E2:E411,"&lt;28",E2:E411,"&gt;26")</f>
        <v>26.846984392000003</v>
      </c>
      <c r="R18" s="3">
        <v>27</v>
      </c>
      <c r="S18" s="3">
        <f>6.8937*LN(Q18)-5.4273</f>
        <v>17.254031193291699</v>
      </c>
      <c r="U18" s="3"/>
    </row>
    <row r="19" spans="1:21" x14ac:dyDescent="0.25">
      <c r="A19" s="8">
        <v>3657</v>
      </c>
      <c r="B19" s="8" t="s">
        <v>27</v>
      </c>
      <c r="C19" s="8">
        <v>1</v>
      </c>
      <c r="D19" s="8">
        <v>9.5</v>
      </c>
      <c r="E19" s="8">
        <v>8.3871015999999994</v>
      </c>
      <c r="F19" s="8">
        <v>7.5</v>
      </c>
      <c r="G19" s="8">
        <v>20</v>
      </c>
      <c r="H19" s="8">
        <v>10</v>
      </c>
      <c r="I19" s="8">
        <v>1.1128984000000006</v>
      </c>
      <c r="J19" s="3"/>
      <c r="K19" s="3"/>
      <c r="L19" s="3"/>
      <c r="M19" s="3">
        <v>27</v>
      </c>
      <c r="N19" s="3" t="s">
        <v>28</v>
      </c>
      <c r="O19" s="3" t="s">
        <v>17</v>
      </c>
      <c r="P19" s="3">
        <f>COUNTIFS(E2:E411,"&lt;=30",E2:E411,"&gt;28")</f>
        <v>17</v>
      </c>
      <c r="Q19" s="3">
        <f>AVERAGEIFS(E2:E411,E2:E411,"&lt;30",E2:E411,"&gt;28")</f>
        <v>28.909790376470585</v>
      </c>
      <c r="R19" s="3">
        <v>29</v>
      </c>
      <c r="S19" s="3">
        <f>6.8937*LN(Q19)-5.4273</f>
        <v>17.764349769278944</v>
      </c>
      <c r="U19" s="3"/>
    </row>
    <row r="20" spans="1:21" x14ac:dyDescent="0.25">
      <c r="A20" s="8">
        <v>3113</v>
      </c>
      <c r="B20" s="8" t="s">
        <v>27</v>
      </c>
      <c r="C20" s="8">
        <v>1</v>
      </c>
      <c r="D20" s="8">
        <v>9.5</v>
      </c>
      <c r="E20" s="8">
        <v>8.4691546000000013</v>
      </c>
      <c r="F20" s="8">
        <v>7</v>
      </c>
      <c r="G20" s="8">
        <v>25</v>
      </c>
      <c r="H20" s="8">
        <v>15</v>
      </c>
      <c r="I20" s="8">
        <v>1.0308453999999987</v>
      </c>
      <c r="J20" s="3"/>
      <c r="K20" s="3"/>
      <c r="L20" s="3"/>
      <c r="M20" s="3">
        <v>27</v>
      </c>
      <c r="N20" s="3" t="s">
        <v>28</v>
      </c>
      <c r="O20" s="3" t="s">
        <v>17</v>
      </c>
      <c r="P20" s="3">
        <f>COUNTIFS(E2:E411,"&lt;=32",E2:E411,"&gt;30")</f>
        <v>12</v>
      </c>
      <c r="Q20" s="3">
        <f>AVERAGEIFS(E2:E411,E2:E411,"&lt;32",E2:E411,"&gt;30")</f>
        <v>30.786658900000003</v>
      </c>
      <c r="R20" s="3">
        <v>31</v>
      </c>
      <c r="S20" s="3">
        <f>6.8937*LN(Q20)-5.4273</f>
        <v>18.197971347362316</v>
      </c>
      <c r="U20" s="3"/>
    </row>
    <row r="21" spans="1:21" x14ac:dyDescent="0.25">
      <c r="A21" s="8">
        <v>3566</v>
      </c>
      <c r="B21" s="8" t="s">
        <v>27</v>
      </c>
      <c r="C21" s="8">
        <v>1</v>
      </c>
      <c r="D21" s="8">
        <v>9.5</v>
      </c>
      <c r="E21" s="8">
        <v>8.5548544</v>
      </c>
      <c r="F21" s="8">
        <v>9.5</v>
      </c>
      <c r="G21" s="8">
        <v>36</v>
      </c>
      <c r="H21" s="8">
        <v>26</v>
      </c>
      <c r="I21" s="8">
        <v>0.94514560000000003</v>
      </c>
      <c r="J21" s="3"/>
      <c r="K21" s="3"/>
      <c r="L21" s="3"/>
      <c r="M21" s="3">
        <v>27</v>
      </c>
      <c r="N21" s="3" t="s">
        <v>28</v>
      </c>
      <c r="O21" s="3" t="s">
        <v>17</v>
      </c>
      <c r="P21" s="3">
        <f>COUNTIFS(E2:E411,"&gt;32",E2:E411,"&lt;=34")</f>
        <v>5</v>
      </c>
      <c r="Q21" s="3">
        <f>AVERAGEIFS(E2:E411,E2:E411,"&gt;32",E2:E411,"&lt;34")</f>
        <v>32.787475719999996</v>
      </c>
      <c r="R21" s="3">
        <v>33</v>
      </c>
      <c r="S21" s="3">
        <f>6.8937*LN(Q21)-5.4273</f>
        <v>18.632034278590158</v>
      </c>
      <c r="U21" s="3"/>
    </row>
    <row r="22" spans="1:21" x14ac:dyDescent="0.25">
      <c r="A22" s="8">
        <v>3510</v>
      </c>
      <c r="B22" s="8" t="s">
        <v>27</v>
      </c>
      <c r="C22" s="8">
        <v>1</v>
      </c>
      <c r="D22" s="8">
        <v>9.5</v>
      </c>
      <c r="E22" s="8">
        <v>8.9578258000000002</v>
      </c>
      <c r="F22" s="8">
        <v>6.5</v>
      </c>
      <c r="G22" s="8">
        <v>31</v>
      </c>
      <c r="H22" s="8">
        <v>21</v>
      </c>
      <c r="I22" s="8">
        <v>0.54217419999999983</v>
      </c>
      <c r="J22" s="3"/>
      <c r="K22" s="3"/>
      <c r="L22" s="3"/>
      <c r="M22" s="3">
        <v>27</v>
      </c>
      <c r="N22" s="3" t="s">
        <v>28</v>
      </c>
      <c r="O22" s="3" t="s">
        <v>17</v>
      </c>
      <c r="P22" s="8">
        <f>COUNTIFS(E2:E411,"&gt;34",E2:E411,"&lt;=36")</f>
        <v>4</v>
      </c>
      <c r="Q22" s="3">
        <f>AVERAGEIFS(E2:E412,E2:E412,"&gt;34",E2:E412,"&lt;36")</f>
        <v>34.925321049999994</v>
      </c>
      <c r="R22" s="10">
        <v>35</v>
      </c>
      <c r="S22" s="3">
        <f>6.8937*LN(Q22)-5.4273</f>
        <v>19.067478237612892</v>
      </c>
    </row>
    <row r="23" spans="1:21" x14ac:dyDescent="0.25">
      <c r="A23" s="8">
        <v>3626</v>
      </c>
      <c r="B23" s="8" t="s">
        <v>27</v>
      </c>
      <c r="C23" s="8">
        <v>1</v>
      </c>
      <c r="D23" s="8">
        <v>15.5</v>
      </c>
      <c r="E23" s="8">
        <v>8.9997640000000008</v>
      </c>
      <c r="F23" s="8">
        <v>10</v>
      </c>
      <c r="G23" s="8">
        <v>23</v>
      </c>
      <c r="H23" s="8">
        <v>13</v>
      </c>
      <c r="I23" s="8">
        <v>6.5002359999999992</v>
      </c>
      <c r="J23" s="3"/>
      <c r="K23" s="3"/>
      <c r="L23" s="3"/>
      <c r="M23" s="3">
        <v>27</v>
      </c>
      <c r="N23" s="3" t="s">
        <v>28</v>
      </c>
      <c r="O23" s="3" t="s">
        <v>17</v>
      </c>
      <c r="P23" s="3">
        <f>COUNTIFS(E2:E411,"&gt;36",E2:E411,"&lt;=38")</f>
        <v>2</v>
      </c>
      <c r="Q23" s="3">
        <f>AVERAGEIFS(E2:E411,E2:E411,"&gt;36",E2:E411,"&lt;38")</f>
        <v>36.135602799999994</v>
      </c>
      <c r="R23" s="3">
        <v>37</v>
      </c>
      <c r="S23" s="3">
        <f>6.8937*LN(Q23)-5.4273</f>
        <v>19.302322529513027</v>
      </c>
      <c r="U23" s="3"/>
    </row>
    <row r="24" spans="1:21" x14ac:dyDescent="0.25">
      <c r="A24" s="8">
        <v>3683</v>
      </c>
      <c r="B24" s="8" t="s">
        <v>27</v>
      </c>
      <c r="C24" s="8">
        <v>1</v>
      </c>
      <c r="D24" s="8">
        <v>11</v>
      </c>
      <c r="E24" s="8">
        <v>9.1018743999999998</v>
      </c>
      <c r="F24" s="8">
        <v>12.5</v>
      </c>
      <c r="G24" s="8">
        <v>30</v>
      </c>
      <c r="H24" s="8">
        <v>20</v>
      </c>
      <c r="I24" s="8">
        <v>1.8981256000000002</v>
      </c>
      <c r="J24" s="3"/>
      <c r="K24" s="3"/>
      <c r="L24" s="3"/>
      <c r="M24" s="3">
        <v>27</v>
      </c>
      <c r="N24" s="3" t="s">
        <v>28</v>
      </c>
      <c r="O24" s="3" t="s">
        <v>17</v>
      </c>
      <c r="P24" s="3">
        <f>COUNTIFS(E2:E411,"&lt;=42",E2:E411,"&gt;40")</f>
        <v>1</v>
      </c>
      <c r="Q24" s="3">
        <f>AVERAGEIFS(E2:E411,E2:E411,"&lt;42",E2:E411,"&gt;40")</f>
        <v>40.486235199999996</v>
      </c>
      <c r="R24" s="3">
        <v>41</v>
      </c>
      <c r="S24" s="3">
        <f>6.8937*LN(Q24)-5.4273</f>
        <v>20.08602204781112</v>
      </c>
      <c r="U24" s="3"/>
    </row>
    <row r="25" spans="1:21" x14ac:dyDescent="0.25">
      <c r="A25" s="8">
        <v>3503</v>
      </c>
      <c r="B25" s="8" t="s">
        <v>27</v>
      </c>
      <c r="C25" s="8">
        <v>1</v>
      </c>
      <c r="D25" s="8">
        <v>10</v>
      </c>
      <c r="E25" s="8">
        <v>9.127402</v>
      </c>
      <c r="F25" s="8">
        <v>7.5</v>
      </c>
      <c r="G25" s="8">
        <v>29</v>
      </c>
      <c r="H25" s="8">
        <v>19</v>
      </c>
      <c r="I25" s="8">
        <v>0.87259799999999998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1" x14ac:dyDescent="0.25">
      <c r="A26" s="8">
        <v>3516</v>
      </c>
      <c r="B26" s="8" t="s">
        <v>27</v>
      </c>
      <c r="C26" s="8">
        <v>1</v>
      </c>
      <c r="D26" s="8">
        <v>9</v>
      </c>
      <c r="E26" s="8">
        <v>9.1893975999999995</v>
      </c>
      <c r="F26" s="8">
        <v>4.5</v>
      </c>
      <c r="G26" s="8">
        <v>30</v>
      </c>
      <c r="H26" s="8">
        <v>20</v>
      </c>
      <c r="I26" s="8">
        <v>-0.1893975999999995</v>
      </c>
      <c r="J26" s="3"/>
      <c r="K26" s="3"/>
      <c r="L26" s="3"/>
      <c r="M26" s="9"/>
      <c r="N26" s="9"/>
      <c r="O26" s="9"/>
      <c r="P26" s="11"/>
      <c r="Q26" s="9"/>
      <c r="R26" s="9"/>
      <c r="S26" s="9"/>
    </row>
    <row r="27" spans="1:21" x14ac:dyDescent="0.25">
      <c r="A27" s="8">
        <v>3233</v>
      </c>
      <c r="B27" s="8" t="s">
        <v>27</v>
      </c>
      <c r="C27" s="8">
        <v>1</v>
      </c>
      <c r="D27" s="8">
        <v>9</v>
      </c>
      <c r="E27" s="8">
        <v>9.6215434000000002</v>
      </c>
      <c r="F27" s="8">
        <v>9</v>
      </c>
      <c r="G27" s="8">
        <v>29</v>
      </c>
      <c r="H27" s="8">
        <v>19</v>
      </c>
      <c r="I27" s="8">
        <v>-0.62154340000000019</v>
      </c>
      <c r="J27" s="9"/>
      <c r="K27" s="9"/>
      <c r="L27" s="9"/>
    </row>
    <row r="28" spans="1:21" x14ac:dyDescent="0.25">
      <c r="A28" s="8">
        <v>3127</v>
      </c>
      <c r="B28" s="8" t="s">
        <v>27</v>
      </c>
      <c r="C28" s="8">
        <v>1</v>
      </c>
      <c r="D28" s="8">
        <v>10</v>
      </c>
      <c r="E28" s="8">
        <v>9.7619451999999995</v>
      </c>
      <c r="F28" s="8">
        <v>8.5</v>
      </c>
      <c r="G28" s="8">
        <v>30</v>
      </c>
      <c r="H28" s="8">
        <v>20</v>
      </c>
      <c r="I28" s="8">
        <v>0.23805480000000045</v>
      </c>
    </row>
    <row r="29" spans="1:21" x14ac:dyDescent="0.25">
      <c r="A29" s="8">
        <v>3140</v>
      </c>
      <c r="B29" s="8" t="s">
        <v>27</v>
      </c>
      <c r="C29" s="8">
        <v>1</v>
      </c>
      <c r="D29" s="8">
        <v>11.5</v>
      </c>
      <c r="E29" s="8">
        <v>9.8731726000000002</v>
      </c>
      <c r="F29" s="8">
        <v>16</v>
      </c>
      <c r="G29" s="8">
        <v>37</v>
      </c>
      <c r="H29" s="8">
        <v>27</v>
      </c>
      <c r="I29" s="8">
        <v>1.6268273999999998</v>
      </c>
    </row>
    <row r="30" spans="1:21" x14ac:dyDescent="0.25">
      <c r="A30" s="8">
        <v>3552</v>
      </c>
      <c r="B30" s="8" t="s">
        <v>27</v>
      </c>
      <c r="C30" s="8">
        <v>1</v>
      </c>
      <c r="D30" s="8">
        <v>17</v>
      </c>
      <c r="E30" s="8">
        <v>9.9406383999999992</v>
      </c>
      <c r="F30" s="8">
        <v>15</v>
      </c>
      <c r="G30" s="8">
        <v>36</v>
      </c>
      <c r="H30" s="8">
        <v>26</v>
      </c>
      <c r="I30" s="8">
        <v>7.0593616000000008</v>
      </c>
    </row>
    <row r="31" spans="1:21" x14ac:dyDescent="0.25">
      <c r="A31" s="8">
        <v>3153</v>
      </c>
      <c r="B31" s="8" t="s">
        <v>27</v>
      </c>
      <c r="C31" s="8">
        <v>1</v>
      </c>
      <c r="D31" s="8">
        <v>12</v>
      </c>
      <c r="E31" s="8">
        <v>9.9442851999999995</v>
      </c>
      <c r="F31" s="8">
        <v>13.5</v>
      </c>
      <c r="G31" s="8">
        <v>29</v>
      </c>
      <c r="H31" s="8">
        <v>19</v>
      </c>
      <c r="I31" s="8">
        <v>2.0557148000000005</v>
      </c>
    </row>
    <row r="32" spans="1:21" x14ac:dyDescent="0.25">
      <c r="A32" s="8">
        <v>3199</v>
      </c>
      <c r="B32" s="8" t="s">
        <v>27</v>
      </c>
      <c r="C32" s="8">
        <v>1</v>
      </c>
      <c r="D32" s="8">
        <v>9.5</v>
      </c>
      <c r="E32" s="8">
        <v>10.0901572</v>
      </c>
      <c r="F32" s="8">
        <v>5.5</v>
      </c>
      <c r="G32" s="8">
        <v>33</v>
      </c>
      <c r="H32" s="8">
        <v>23</v>
      </c>
      <c r="I32" s="8">
        <v>-0.59015720000000016</v>
      </c>
    </row>
    <row r="33" spans="1:21" x14ac:dyDescent="0.25">
      <c r="A33" s="8">
        <v>3554</v>
      </c>
      <c r="B33" s="8" t="s">
        <v>27</v>
      </c>
      <c r="C33" s="8">
        <v>1</v>
      </c>
      <c r="D33" s="8">
        <v>11.5</v>
      </c>
      <c r="E33" s="8">
        <v>10.110214599999999</v>
      </c>
      <c r="F33" s="8">
        <v>9</v>
      </c>
      <c r="G33" s="8">
        <v>48</v>
      </c>
      <c r="H33" s="8">
        <v>38</v>
      </c>
      <c r="I33" s="8">
        <v>1.3897854000000009</v>
      </c>
    </row>
    <row r="34" spans="1:21" x14ac:dyDescent="0.25">
      <c r="A34" s="8">
        <v>3259</v>
      </c>
      <c r="B34" s="8" t="s">
        <v>27</v>
      </c>
      <c r="C34" s="8">
        <v>1</v>
      </c>
      <c r="D34" s="8">
        <v>11</v>
      </c>
      <c r="E34" s="8">
        <v>10.226912199999999</v>
      </c>
      <c r="G34" s="8">
        <v>29</v>
      </c>
      <c r="H34" s="8">
        <v>19</v>
      </c>
      <c r="I34" s="8">
        <v>0.77308780000000077</v>
      </c>
    </row>
    <row r="35" spans="1:21" x14ac:dyDescent="0.25">
      <c r="A35" s="8">
        <v>3696</v>
      </c>
      <c r="B35" s="8" t="s">
        <v>27</v>
      </c>
      <c r="C35" s="8">
        <v>1</v>
      </c>
      <c r="D35" s="8">
        <v>16</v>
      </c>
      <c r="E35" s="8">
        <v>10.573358200000001</v>
      </c>
      <c r="F35" s="8">
        <v>10.5</v>
      </c>
      <c r="G35" s="8">
        <v>25</v>
      </c>
      <c r="H35" s="8">
        <v>15</v>
      </c>
      <c r="I35" s="8">
        <v>5.4266417999999987</v>
      </c>
    </row>
    <row r="36" spans="1:21" x14ac:dyDescent="0.25">
      <c r="A36" s="8">
        <v>3625</v>
      </c>
      <c r="B36" s="8" t="s">
        <v>27</v>
      </c>
      <c r="C36" s="8">
        <v>1</v>
      </c>
      <c r="D36" s="8">
        <v>14.5</v>
      </c>
      <c r="E36" s="8">
        <v>10.7465812</v>
      </c>
      <c r="F36" s="8">
        <v>10</v>
      </c>
      <c r="G36" s="8">
        <v>18</v>
      </c>
      <c r="H36" s="8">
        <v>8</v>
      </c>
      <c r="I36" s="8">
        <v>3.7534188000000004</v>
      </c>
    </row>
    <row r="37" spans="1:21" x14ac:dyDescent="0.25">
      <c r="A37" s="8">
        <v>3232</v>
      </c>
      <c r="B37" s="8" t="s">
        <v>27</v>
      </c>
      <c r="C37" s="8">
        <v>1</v>
      </c>
      <c r="D37" s="8">
        <v>11</v>
      </c>
      <c r="E37" s="8">
        <v>10.814047</v>
      </c>
      <c r="F37" s="8">
        <v>6.5</v>
      </c>
      <c r="G37" s="8">
        <v>27</v>
      </c>
      <c r="H37" s="8">
        <v>17</v>
      </c>
      <c r="I37" s="8">
        <v>0.18595299999999959</v>
      </c>
    </row>
    <row r="38" spans="1:21" x14ac:dyDescent="0.25">
      <c r="A38" s="8">
        <v>3477</v>
      </c>
      <c r="B38" s="8" t="s">
        <v>27</v>
      </c>
      <c r="C38" s="8">
        <v>1</v>
      </c>
      <c r="D38" s="8">
        <v>11</v>
      </c>
      <c r="E38" s="8">
        <v>11.0547358</v>
      </c>
      <c r="F38" s="8">
        <v>12</v>
      </c>
      <c r="G38" s="8">
        <v>36</v>
      </c>
      <c r="H38" s="8">
        <v>26</v>
      </c>
      <c r="I38" s="8">
        <v>-5.4735799999999557E-2</v>
      </c>
      <c r="M38" s="29">
        <v>2005</v>
      </c>
    </row>
    <row r="39" spans="1:21" x14ac:dyDescent="0.25">
      <c r="A39" s="8">
        <v>3547</v>
      </c>
      <c r="B39" s="8" t="s">
        <v>27</v>
      </c>
      <c r="C39" s="8">
        <v>1</v>
      </c>
      <c r="D39" s="8">
        <v>13.5</v>
      </c>
      <c r="E39" s="8">
        <v>11.164139800000001</v>
      </c>
      <c r="F39" s="8">
        <v>11.5</v>
      </c>
      <c r="G39" s="8">
        <v>40</v>
      </c>
      <c r="H39" s="8">
        <v>30</v>
      </c>
      <c r="I39" s="8">
        <v>2.3358601999999991</v>
      </c>
      <c r="M39" s="3" t="s">
        <v>3</v>
      </c>
      <c r="N39" s="3" t="s">
        <v>4</v>
      </c>
      <c r="O39" s="3" t="s">
        <v>5</v>
      </c>
      <c r="P39" s="3" t="s">
        <v>6</v>
      </c>
      <c r="Q39" s="3" t="s">
        <v>8</v>
      </c>
      <c r="R39" s="3" t="s">
        <v>29</v>
      </c>
      <c r="S39" s="3" t="s">
        <v>9</v>
      </c>
      <c r="U39" s="3"/>
    </row>
    <row r="40" spans="1:21" x14ac:dyDescent="0.25">
      <c r="A40" s="8">
        <v>3514</v>
      </c>
      <c r="B40" s="8" t="s">
        <v>27</v>
      </c>
      <c r="C40" s="8">
        <v>1</v>
      </c>
      <c r="D40" s="8">
        <v>13.5</v>
      </c>
      <c r="E40" s="8">
        <v>11.324599000000001</v>
      </c>
      <c r="F40" s="8">
        <v>9</v>
      </c>
      <c r="G40" s="8">
        <v>38</v>
      </c>
      <c r="H40" s="8">
        <v>28</v>
      </c>
      <c r="I40" s="8">
        <v>2.175400999999999</v>
      </c>
      <c r="M40" s="3">
        <v>27</v>
      </c>
      <c r="N40" s="3" t="s">
        <v>28</v>
      </c>
      <c r="O40" s="3" t="s">
        <v>17</v>
      </c>
      <c r="P40" s="3">
        <f>COUNTIFS(D2:D488,"&lt;=6",D2:D488,"&gt;4",C2:C488,1)</f>
        <v>2</v>
      </c>
      <c r="Q40" s="30">
        <f>AVERAGEIFS(D2:D488,D2:D488,"&lt;6",D2:D488,"&gt;4",C2:C488,1)</f>
        <v>4.5</v>
      </c>
      <c r="R40" s="3">
        <v>5</v>
      </c>
      <c r="S40" s="30">
        <f>6.8937*LN(Q40)-5.4273</f>
        <v>4.9413583501566007</v>
      </c>
      <c r="U40" s="3"/>
    </row>
    <row r="41" spans="1:21" x14ac:dyDescent="0.25">
      <c r="A41" s="8">
        <v>3298</v>
      </c>
      <c r="B41" s="8" t="s">
        <v>27</v>
      </c>
      <c r="C41" s="8">
        <v>1</v>
      </c>
      <c r="D41" s="8">
        <v>14.5</v>
      </c>
      <c r="E41" s="8">
        <v>11.3446564</v>
      </c>
      <c r="F41" s="8">
        <v>10.5</v>
      </c>
      <c r="G41" s="8">
        <v>32</v>
      </c>
      <c r="H41" s="8">
        <v>22</v>
      </c>
      <c r="I41" s="8">
        <v>3.1553436000000001</v>
      </c>
      <c r="M41" s="3">
        <v>27</v>
      </c>
      <c r="N41" s="3" t="s">
        <v>28</v>
      </c>
      <c r="O41" s="3" t="s">
        <v>17</v>
      </c>
      <c r="P41" s="3">
        <f>COUNTIFS(D2:D488,"&lt;=8",D2:D488,"&gt;6",C2:C488,1)</f>
        <v>8</v>
      </c>
      <c r="Q41" s="30">
        <f>AVERAGEIFS(D2:D488,D2:D488,"&lt;8",D2:D488,"&gt;6",C2:C488,1)</f>
        <v>6.9285714285714288</v>
      </c>
      <c r="R41" s="3">
        <v>7</v>
      </c>
      <c r="S41" s="30">
        <f>6.8937*LN(Q41)-5.4273</f>
        <v>7.9165155593400618</v>
      </c>
      <c r="U41" s="3"/>
    </row>
    <row r="42" spans="1:21" x14ac:dyDescent="0.25">
      <c r="A42" s="8">
        <v>3003</v>
      </c>
      <c r="B42" s="8" t="s">
        <v>27</v>
      </c>
      <c r="C42" s="8">
        <v>1</v>
      </c>
      <c r="D42" s="8">
        <v>13</v>
      </c>
      <c r="E42" s="8">
        <v>11.370184</v>
      </c>
      <c r="F42" s="8">
        <v>13</v>
      </c>
      <c r="G42" s="8">
        <v>34</v>
      </c>
      <c r="H42" s="8">
        <v>24</v>
      </c>
      <c r="I42" s="8">
        <v>1.6298159999999999</v>
      </c>
      <c r="M42" s="3">
        <v>27</v>
      </c>
      <c r="N42" s="3" t="s">
        <v>28</v>
      </c>
      <c r="O42" s="3" t="s">
        <v>17</v>
      </c>
      <c r="P42" s="3">
        <f>COUNTIFS(D2:D488,"&lt;=10",D2:D488,"&gt;8",C2:C488,1)</f>
        <v>19</v>
      </c>
      <c r="Q42" s="30">
        <f>AVERAGEIFS(D2:D488,D2:D488,"&lt;10",D2:D488,"&gt;8",C2:C488,1)</f>
        <v>9.2333333333333325</v>
      </c>
      <c r="R42" s="3">
        <v>9</v>
      </c>
      <c r="S42" s="30">
        <f>6.8937*LN(Q42)-5.4273</f>
        <v>9.8961550924392547</v>
      </c>
      <c r="U42" s="3"/>
    </row>
    <row r="43" spans="1:21" x14ac:dyDescent="0.25">
      <c r="A43" s="8">
        <v>3368</v>
      </c>
      <c r="B43" s="8" t="s">
        <v>27</v>
      </c>
      <c r="C43" s="8">
        <v>1</v>
      </c>
      <c r="D43" s="8">
        <v>14</v>
      </c>
      <c r="E43" s="8">
        <v>11.572581400000001</v>
      </c>
      <c r="F43" s="8">
        <v>8.5</v>
      </c>
      <c r="G43" s="8">
        <v>29</v>
      </c>
      <c r="H43" s="8">
        <v>19</v>
      </c>
      <c r="I43" s="8">
        <v>2.4274185999999993</v>
      </c>
      <c r="M43" s="3">
        <v>27</v>
      </c>
      <c r="N43" s="3" t="s">
        <v>28</v>
      </c>
      <c r="O43" s="3" t="s">
        <v>17</v>
      </c>
      <c r="P43" s="3">
        <f>COUNTIFS(D2:D488,"&lt;=12",D2:D488,"&gt;10",C2:C488,1)</f>
        <v>10</v>
      </c>
      <c r="Q43" s="30">
        <f>AVERAGEIFS(D2:D488,D2:D488,"&lt;12",D2:D488,"&gt;10",C2:C488,1)</f>
        <v>11.25</v>
      </c>
      <c r="R43" s="3">
        <v>11</v>
      </c>
      <c r="S43" s="30">
        <f>6.8937*LN(Q43)-5.4273</f>
        <v>11.257991768477464</v>
      </c>
      <c r="U43" s="3"/>
    </row>
    <row r="44" spans="1:21" x14ac:dyDescent="0.25">
      <c r="A44" s="8">
        <v>3361</v>
      </c>
      <c r="B44" s="8" t="s">
        <v>27</v>
      </c>
      <c r="C44" s="8">
        <v>1</v>
      </c>
      <c r="D44" s="8">
        <v>12.5</v>
      </c>
      <c r="E44" s="8">
        <v>11.6601046</v>
      </c>
      <c r="F44" s="8">
        <v>12</v>
      </c>
      <c r="G44" s="8">
        <v>34</v>
      </c>
      <c r="H44" s="8">
        <v>24</v>
      </c>
      <c r="I44" s="8">
        <v>0.83989539999999963</v>
      </c>
      <c r="M44" s="3">
        <v>27</v>
      </c>
      <c r="N44" s="3" t="s">
        <v>28</v>
      </c>
      <c r="O44" s="3" t="s">
        <v>17</v>
      </c>
      <c r="P44" s="3">
        <f>COUNTIFS(D2:D488,"&gt;12",D2:D488,"&lt;=14",C2:C488,1)</f>
        <v>16</v>
      </c>
      <c r="Q44" s="30">
        <f>AVERAGEIFS(D2:D488,D2:D488,"&gt;12",D2:D488,"&lt;14",C2:C488,1)</f>
        <v>13.136363636363637</v>
      </c>
      <c r="R44" s="3">
        <v>13</v>
      </c>
      <c r="S44" s="30">
        <f>6.8937*LN(Q44)-5.4273</f>
        <v>12.326626299124452</v>
      </c>
      <c r="U44" s="3"/>
    </row>
    <row r="45" spans="1:21" x14ac:dyDescent="0.25">
      <c r="A45" s="8">
        <v>3522</v>
      </c>
      <c r="B45" s="8" t="s">
        <v>27</v>
      </c>
      <c r="C45" s="8">
        <v>1</v>
      </c>
      <c r="D45" s="8">
        <v>13.5</v>
      </c>
      <c r="E45" s="8">
        <v>11.7312172</v>
      </c>
      <c r="F45" s="8">
        <v>9</v>
      </c>
      <c r="G45" s="8">
        <v>36</v>
      </c>
      <c r="H45" s="8">
        <v>26</v>
      </c>
      <c r="I45" s="8">
        <v>1.7687828000000003</v>
      </c>
      <c r="M45" s="3">
        <v>27</v>
      </c>
      <c r="N45" s="3" t="s">
        <v>28</v>
      </c>
      <c r="O45" s="3" t="s">
        <v>17</v>
      </c>
      <c r="P45" s="3">
        <f>COUNTIFS(D2:D488,"&gt;14",D2:D488,"&lt;=16",C2:C488,1)</f>
        <v>31</v>
      </c>
      <c r="Q45" s="30">
        <f>AVERAGEIFS(D2:D488,D2:D488,"&gt;14",D2:D488,"&lt;16",C2:C488,1)</f>
        <v>15.071428571428571</v>
      </c>
      <c r="R45" s="3">
        <v>15</v>
      </c>
      <c r="S45" s="30">
        <f>6.8937*LN(Q45)-5.4273</f>
        <v>13.273934901575252</v>
      </c>
      <c r="U45" s="3"/>
    </row>
    <row r="46" spans="1:21" x14ac:dyDescent="0.25">
      <c r="A46" s="8">
        <v>3359</v>
      </c>
      <c r="B46" s="8" t="s">
        <v>27</v>
      </c>
      <c r="C46" s="8">
        <v>1</v>
      </c>
      <c r="D46" s="8">
        <v>14.5</v>
      </c>
      <c r="E46" s="8">
        <v>11.7476278</v>
      </c>
      <c r="F46" s="8">
        <v>13.5</v>
      </c>
      <c r="G46" s="8">
        <v>24</v>
      </c>
      <c r="H46" s="8">
        <v>14</v>
      </c>
      <c r="I46" s="8">
        <v>2.7523721999999999</v>
      </c>
      <c r="M46" s="3">
        <v>27</v>
      </c>
      <c r="N46" s="3" t="s">
        <v>28</v>
      </c>
      <c r="O46" s="3" t="s">
        <v>17</v>
      </c>
      <c r="P46" s="3">
        <f>COUNTIFS(D2:D488,"&gt;16",D2:D488,"&lt;=18",C2:C488,1)</f>
        <v>25</v>
      </c>
      <c r="Q46" s="30">
        <f>AVERAGEIFS(D2:D488,D2:D488,"&gt;16",D2:D488,"&lt;18",C2:C488,1)</f>
        <v>16.928571428571427</v>
      </c>
      <c r="R46" s="3">
        <v>17</v>
      </c>
      <c r="S46" s="30">
        <f>6.8937*LN(Q46)-5.4273</f>
        <v>14.074996681774547</v>
      </c>
      <c r="U46" s="3"/>
    </row>
    <row r="47" spans="1:21" x14ac:dyDescent="0.25">
      <c r="A47" s="8">
        <v>3546</v>
      </c>
      <c r="B47" s="8" t="s">
        <v>27</v>
      </c>
      <c r="C47" s="8">
        <v>1</v>
      </c>
      <c r="D47" s="8">
        <v>15.5</v>
      </c>
      <c r="E47" s="8">
        <v>11.840621199999999</v>
      </c>
      <c r="F47" s="8">
        <v>13</v>
      </c>
      <c r="G47" s="8">
        <v>39</v>
      </c>
      <c r="H47" s="8">
        <v>29</v>
      </c>
      <c r="I47" s="8">
        <v>3.6593788000000007</v>
      </c>
      <c r="M47" s="3">
        <v>27</v>
      </c>
      <c r="N47" s="3" t="s">
        <v>28</v>
      </c>
      <c r="O47" s="3" t="s">
        <v>17</v>
      </c>
      <c r="P47" s="3">
        <f>COUNTIFS(D2:D488,"&lt;=20",D2:D488,"&gt;18",C2:C488,1)</f>
        <v>45</v>
      </c>
      <c r="Q47" s="30">
        <f>AVERAGEIFS(D2:D488,D2:D488,"&lt;20",D2:D488,"&gt;18",C2:C488,1)</f>
        <v>19.019354838709678</v>
      </c>
      <c r="R47" s="3">
        <v>19</v>
      </c>
      <c r="S47" s="30">
        <f>6.8937*LN(Q47)-5.4273</f>
        <v>14.877797861131608</v>
      </c>
      <c r="U47" s="3"/>
    </row>
    <row r="48" spans="1:21" x14ac:dyDescent="0.25">
      <c r="A48" s="8">
        <v>3188</v>
      </c>
      <c r="B48" s="8" t="s">
        <v>27</v>
      </c>
      <c r="C48" s="8">
        <v>1</v>
      </c>
      <c r="D48" s="8">
        <v>12.5</v>
      </c>
      <c r="E48" s="8">
        <v>11.975552799999999</v>
      </c>
      <c r="F48" s="8">
        <v>9</v>
      </c>
      <c r="G48" s="8">
        <v>37</v>
      </c>
      <c r="H48" s="8">
        <v>27</v>
      </c>
      <c r="I48" s="8">
        <v>0.52444720000000089</v>
      </c>
      <c r="M48" s="3">
        <v>27</v>
      </c>
      <c r="N48" s="3" t="s">
        <v>28</v>
      </c>
      <c r="O48" s="3" t="s">
        <v>17</v>
      </c>
      <c r="P48" s="3">
        <f>COUNTIFS(D2:D488,"&lt;=22",D2:D488,"&gt;20",C2:C488,1)</f>
        <v>42</v>
      </c>
      <c r="Q48" s="30">
        <f>AVERAGEIFS(D2:D488,D2:D488,"&lt;22",D2:D488,"&gt;20",C2:C488,1)</f>
        <v>20.971428571428572</v>
      </c>
      <c r="R48" s="3">
        <v>21</v>
      </c>
      <c r="S48" s="30">
        <f>6.8937*LN(Q48)-5.4273</f>
        <v>15.551338759070319</v>
      </c>
      <c r="U48" s="3"/>
    </row>
    <row r="49" spans="1:21" x14ac:dyDescent="0.25">
      <c r="A49" s="8">
        <v>3574</v>
      </c>
      <c r="B49" s="8" t="s">
        <v>27</v>
      </c>
      <c r="C49" s="8">
        <v>1</v>
      </c>
      <c r="D49" s="8">
        <v>16</v>
      </c>
      <c r="E49" s="8">
        <v>12.181597</v>
      </c>
      <c r="F49" s="8">
        <v>10</v>
      </c>
      <c r="G49" s="8">
        <v>30</v>
      </c>
      <c r="H49" s="8">
        <v>20</v>
      </c>
      <c r="I49" s="8">
        <v>3.818403</v>
      </c>
      <c r="M49" s="3">
        <v>27</v>
      </c>
      <c r="N49" s="3" t="s">
        <v>28</v>
      </c>
      <c r="O49" s="3" t="s">
        <v>17</v>
      </c>
      <c r="P49" s="3">
        <f>COUNTIFS(D2:D488,"&lt;=24",D2:D488,"&gt;22",C2:C488,1)</f>
        <v>37</v>
      </c>
      <c r="Q49" s="30">
        <f>AVERAGEIFS(D2:D488,D2:D488,"&lt;24",D2:D488,"&gt;22",C2:C488,1)</f>
        <v>23.086206896551722</v>
      </c>
      <c r="R49" s="3">
        <v>23</v>
      </c>
      <c r="S49" s="30">
        <f>6.8937*LN(Q49)-5.4273</f>
        <v>16.213646629887386</v>
      </c>
      <c r="U49" s="3"/>
    </row>
    <row r="50" spans="1:21" x14ac:dyDescent="0.25">
      <c r="A50" s="8">
        <v>3020</v>
      </c>
      <c r="B50" s="8" t="s">
        <v>27</v>
      </c>
      <c r="C50" s="8">
        <v>1</v>
      </c>
      <c r="D50" s="8">
        <v>15.5</v>
      </c>
      <c r="E50" s="8">
        <v>12.371230600000001</v>
      </c>
      <c r="F50" s="8">
        <v>12</v>
      </c>
      <c r="G50" s="8">
        <v>32</v>
      </c>
      <c r="H50" s="8">
        <v>22</v>
      </c>
      <c r="I50" s="8">
        <v>3.1287693999999995</v>
      </c>
      <c r="M50" s="3">
        <v>27</v>
      </c>
      <c r="N50" s="3" t="s">
        <v>28</v>
      </c>
      <c r="O50" s="3" t="s">
        <v>17</v>
      </c>
      <c r="P50" s="3">
        <f>COUNTIFS(D2:D488,"&lt;=26",D2:D488,"&gt;24",C2:C488,1)</f>
        <v>51</v>
      </c>
      <c r="Q50" s="30">
        <f>AVERAGEIFS(D2:D488,D2:D488,"&lt;26",D2:D488,"&gt;24",C2:C488,1)</f>
        <v>24.875</v>
      </c>
      <c r="R50" s="3">
        <v>25</v>
      </c>
      <c r="S50" s="30">
        <f>6.8937*LN(Q50)-5.4273</f>
        <v>16.72810931432495</v>
      </c>
      <c r="U50" s="3"/>
    </row>
    <row r="51" spans="1:21" x14ac:dyDescent="0.25">
      <c r="A51" s="8">
        <v>3214</v>
      </c>
      <c r="B51" s="8" t="s">
        <v>27</v>
      </c>
      <c r="C51" s="8">
        <v>1</v>
      </c>
      <c r="D51" s="8">
        <v>13.5</v>
      </c>
      <c r="E51" s="8">
        <v>12.4241092</v>
      </c>
      <c r="F51" s="8">
        <v>11</v>
      </c>
      <c r="G51" s="8">
        <v>35</v>
      </c>
      <c r="H51" s="8">
        <v>25</v>
      </c>
      <c r="I51" s="8">
        <v>1.0758907999999998</v>
      </c>
      <c r="M51" s="3">
        <v>27</v>
      </c>
      <c r="N51" s="3" t="s">
        <v>28</v>
      </c>
      <c r="O51" s="3" t="s">
        <v>17</v>
      </c>
      <c r="P51" s="3">
        <f>COUNTIFS(D2:D488,"&lt;=28",D2:D488,"&gt;26",C2:C488,1)</f>
        <v>35</v>
      </c>
      <c r="Q51" s="30">
        <f>AVERAGEIFS(D2:D488,D2:D488,"&lt;28",D2:D488,"&gt;26",C2:C488,1)</f>
        <v>27.02</v>
      </c>
      <c r="R51" s="3">
        <v>27</v>
      </c>
      <c r="S51" s="30">
        <f>6.8937*LN(Q51)-5.4273</f>
        <v>17.298315157276214</v>
      </c>
      <c r="U51" s="3"/>
    </row>
    <row r="52" spans="1:21" x14ac:dyDescent="0.25">
      <c r="A52" s="8">
        <v>3467</v>
      </c>
      <c r="B52" s="8" t="s">
        <v>27</v>
      </c>
      <c r="C52" s="8">
        <v>1</v>
      </c>
      <c r="D52" s="8">
        <v>14</v>
      </c>
      <c r="E52" s="8">
        <v>12.4241092</v>
      </c>
      <c r="F52" s="8">
        <v>14</v>
      </c>
      <c r="G52" s="8">
        <v>37</v>
      </c>
      <c r="H52" s="8">
        <v>27</v>
      </c>
      <c r="I52" s="8">
        <v>1.5758907999999998</v>
      </c>
      <c r="M52" s="3">
        <v>27</v>
      </c>
      <c r="N52" s="3" t="s">
        <v>28</v>
      </c>
      <c r="O52" s="3" t="s">
        <v>17</v>
      </c>
      <c r="P52" s="3">
        <f>COUNTIFS(D2:D488,"&lt;=30",D2:D488,"&gt;28",C2:C488,1)</f>
        <v>30</v>
      </c>
      <c r="Q52" s="30">
        <f>AVERAGEIFS(D2:D488,D2:D488,"&lt;30",D2:D488,"&gt;28",C2:C488,1)</f>
        <v>28.9375</v>
      </c>
      <c r="R52" s="3">
        <v>29</v>
      </c>
      <c r="S52" s="30">
        <f>6.8937*LN(Q52)-5.4273</f>
        <v>17.770954118249893</v>
      </c>
      <c r="U52" s="3"/>
    </row>
    <row r="53" spans="1:21" x14ac:dyDescent="0.25">
      <c r="A53" s="8">
        <v>3226</v>
      </c>
      <c r="B53" s="8" t="s">
        <v>27</v>
      </c>
      <c r="C53" s="8">
        <v>1</v>
      </c>
      <c r="D53" s="8">
        <v>14.5</v>
      </c>
      <c r="E53" s="8">
        <v>12.648387400000001</v>
      </c>
      <c r="F53" s="8">
        <v>12.5</v>
      </c>
      <c r="G53" s="8">
        <v>34</v>
      </c>
      <c r="H53" s="8">
        <v>24</v>
      </c>
      <c r="I53" s="8">
        <v>1.8516125999999993</v>
      </c>
      <c r="M53" s="3">
        <v>27</v>
      </c>
      <c r="N53" s="3" t="s">
        <v>28</v>
      </c>
      <c r="O53" s="3" t="s">
        <v>17</v>
      </c>
      <c r="P53" s="3">
        <f>COUNTIFS(D2:D488,"&lt;=32",D2:D488,"&gt;30",C2:C488,1)</f>
        <v>24</v>
      </c>
      <c r="Q53" s="30">
        <f>AVERAGEIFS(D2:D488,D2:D488,"&lt;32",D2:D488,"&gt;30",C2:C488,1)</f>
        <v>31</v>
      </c>
      <c r="R53" s="3">
        <v>31</v>
      </c>
      <c r="S53" s="30">
        <f>6.8937*LN(Q53)-5.4273</f>
        <v>18.245577591559254</v>
      </c>
      <c r="U53" s="3"/>
    </row>
    <row r="54" spans="1:21" x14ac:dyDescent="0.25">
      <c r="A54" s="8">
        <v>3176</v>
      </c>
      <c r="B54" s="8" t="s">
        <v>27</v>
      </c>
      <c r="C54" s="8">
        <v>1</v>
      </c>
      <c r="D54" s="8">
        <v>17</v>
      </c>
      <c r="E54" s="8">
        <v>12.7577914</v>
      </c>
      <c r="F54" s="8">
        <v>12</v>
      </c>
      <c r="G54" s="8">
        <v>35</v>
      </c>
      <c r="H54" s="8">
        <v>25</v>
      </c>
      <c r="I54" s="8">
        <v>4.2422085999999997</v>
      </c>
      <c r="M54" s="3">
        <v>27</v>
      </c>
      <c r="N54" s="3" t="s">
        <v>28</v>
      </c>
      <c r="O54" s="3" t="s">
        <v>17</v>
      </c>
      <c r="P54" s="3">
        <f>COUNTIFS(D2:D488,"&gt;32",D2:D488,"&lt;=34",C2:C488,1)</f>
        <v>15</v>
      </c>
      <c r="Q54" s="30">
        <f>AVERAGEIFS(D2:D488,D2:D488,"&gt;32",D2:D488,"&lt;34",C2:C488,1)</f>
        <v>33</v>
      </c>
      <c r="R54" s="3">
        <v>33</v>
      </c>
      <c r="S54" s="30">
        <f>6.8937*LN(Q54)-5.4273</f>
        <v>18.676574176481477</v>
      </c>
      <c r="U54" s="3"/>
    </row>
    <row r="55" spans="1:21" x14ac:dyDescent="0.25">
      <c r="A55" s="8">
        <v>3102</v>
      </c>
      <c r="B55" s="8" t="s">
        <v>27</v>
      </c>
      <c r="C55" s="8">
        <v>1</v>
      </c>
      <c r="D55" s="8">
        <v>12.5</v>
      </c>
      <c r="E55" s="8">
        <v>12.7632616</v>
      </c>
      <c r="F55" s="8">
        <v>12</v>
      </c>
      <c r="G55" s="8">
        <v>34</v>
      </c>
      <c r="H55" s="8">
        <v>24</v>
      </c>
      <c r="I55" s="8">
        <v>-0.26326159999999987</v>
      </c>
      <c r="M55" s="3">
        <v>27</v>
      </c>
      <c r="N55" s="3" t="s">
        <v>28</v>
      </c>
      <c r="O55" s="3" t="s">
        <v>17</v>
      </c>
      <c r="P55" s="8">
        <f>COUNTIFS(D2:D488,"&gt;34",D2:D488,"&lt;=36",C2:C488,1)</f>
        <v>12</v>
      </c>
      <c r="Q55" s="30">
        <f>AVERAGEIFS(D2:D488,D2:D488,"&gt;34",D2:D488,"&lt;36",C2:C488,1)</f>
        <v>34.888888888888886</v>
      </c>
      <c r="R55" s="10">
        <v>35</v>
      </c>
      <c r="S55" s="30">
        <f>6.8937*LN(Q55)-5.4273</f>
        <v>19.060283358173031</v>
      </c>
      <c r="U55" s="10"/>
    </row>
    <row r="56" spans="1:21" x14ac:dyDescent="0.25">
      <c r="A56" s="8">
        <v>3553</v>
      </c>
      <c r="B56" s="8" t="s">
        <v>27</v>
      </c>
      <c r="C56" s="8">
        <v>1</v>
      </c>
      <c r="D56" s="8">
        <v>13.5</v>
      </c>
      <c r="E56" s="8">
        <v>12.8854294</v>
      </c>
      <c r="F56" s="8">
        <v>10.5</v>
      </c>
      <c r="G56" s="8">
        <v>44</v>
      </c>
      <c r="H56" s="8">
        <v>34</v>
      </c>
      <c r="I56" s="8">
        <v>0.61457060000000041</v>
      </c>
      <c r="M56" s="3">
        <v>27</v>
      </c>
      <c r="N56" s="3" t="s">
        <v>28</v>
      </c>
      <c r="O56" s="3" t="s">
        <v>17</v>
      </c>
      <c r="P56" s="3">
        <f>COUNTIFS(D2:D488,"&gt;36",D2:D488,"&lt;=38",C2:C488,1)</f>
        <v>8</v>
      </c>
      <c r="Q56" s="30">
        <f>AVERAGEIFS(D2:D488,D2:D488,"&gt;36",D2:D488,"&lt;38",C2:C488,1)</f>
        <v>36.833333333333336</v>
      </c>
      <c r="R56" s="3">
        <v>37</v>
      </c>
      <c r="S56" s="30">
        <f>6.8937*LN(Q56)-5.4273</f>
        <v>19.434161962435493</v>
      </c>
      <c r="U56" s="3"/>
    </row>
    <row r="57" spans="1:21" x14ac:dyDescent="0.25">
      <c r="A57" s="8">
        <v>3316</v>
      </c>
      <c r="B57" s="8" t="s">
        <v>27</v>
      </c>
      <c r="C57" s="8">
        <v>1</v>
      </c>
      <c r="D57" s="8">
        <v>14</v>
      </c>
      <c r="E57" s="8">
        <v>12.8981932</v>
      </c>
      <c r="F57" s="8">
        <v>13</v>
      </c>
      <c r="G57" s="8">
        <v>38</v>
      </c>
      <c r="H57" s="8">
        <v>28</v>
      </c>
      <c r="I57" s="8">
        <v>1.1018068000000003</v>
      </c>
      <c r="M57" s="3">
        <v>27</v>
      </c>
      <c r="N57" s="3" t="s">
        <v>28</v>
      </c>
      <c r="O57" s="3" t="s">
        <v>17</v>
      </c>
      <c r="P57" s="3">
        <f>COUNTIFS(D2:D488,"&lt;=42",D2:D488,"&gt;40",C2:C488,1)</f>
        <v>2</v>
      </c>
      <c r="Q57" s="30">
        <f>AVERAGEIFS(D2:D488,D2:D488,"&lt;42",D2:D488,"&gt;40",C2:C488,1)</f>
        <v>40.75</v>
      </c>
      <c r="R57" s="3">
        <v>41</v>
      </c>
      <c r="S57" s="30">
        <f>6.8937*LN(Q57)-5.4273</f>
        <v>20.130788322049387</v>
      </c>
      <c r="U57" s="3"/>
    </row>
    <row r="58" spans="1:21" x14ac:dyDescent="0.25">
      <c r="A58" s="8">
        <v>3615</v>
      </c>
      <c r="B58" s="8" t="s">
        <v>27</v>
      </c>
      <c r="C58" s="8">
        <v>1</v>
      </c>
      <c r="D58" s="8">
        <v>16</v>
      </c>
      <c r="E58" s="8">
        <v>12.972952600000001</v>
      </c>
      <c r="F58" s="8">
        <v>15.5</v>
      </c>
      <c r="G58" s="8">
        <v>42</v>
      </c>
      <c r="H58" s="8">
        <v>32</v>
      </c>
      <c r="I58" s="8">
        <v>3.0270473999999989</v>
      </c>
      <c r="M58" s="3">
        <v>27</v>
      </c>
      <c r="N58" s="3" t="s">
        <v>28</v>
      </c>
      <c r="O58" s="3" t="s">
        <v>17</v>
      </c>
      <c r="P58" s="8">
        <f>COUNTIFS(D2:D488,"&lt;=44",D2:D488,"&gt;42",C2:C488,1)</f>
        <v>0</v>
      </c>
      <c r="Q58" s="30">
        <f>AVERAGEIFS(D2:D488,D2:D488,"&lt;42",D2:D488,"&gt;40",C2:C488,1)</f>
        <v>40.75</v>
      </c>
      <c r="R58" s="10">
        <v>43</v>
      </c>
      <c r="S58" s="30">
        <f t="shared" ref="S58:S59" si="0">6.8937*LN(Q58)-5.4273</f>
        <v>20.130788322049387</v>
      </c>
    </row>
    <row r="59" spans="1:21" x14ac:dyDescent="0.25">
      <c r="A59" s="8">
        <v>3269</v>
      </c>
      <c r="B59" s="8" t="s">
        <v>27</v>
      </c>
      <c r="C59" s="8">
        <v>1</v>
      </c>
      <c r="D59" s="8">
        <v>16</v>
      </c>
      <c r="E59" s="8">
        <v>13.020360999999999</v>
      </c>
      <c r="F59" s="8">
        <v>15</v>
      </c>
      <c r="G59" s="8">
        <v>40</v>
      </c>
      <c r="H59" s="8">
        <v>30</v>
      </c>
      <c r="I59" s="8">
        <v>2.9796390000000006</v>
      </c>
      <c r="M59" s="3">
        <v>27</v>
      </c>
      <c r="N59" s="3" t="s">
        <v>28</v>
      </c>
      <c r="O59" s="3" t="s">
        <v>17</v>
      </c>
      <c r="P59" s="8">
        <f>COUNTIFS(D2:D488,"&lt;=46",D2:D488,"&gt;44",C2:C488,1)</f>
        <v>1</v>
      </c>
      <c r="Q59" s="30">
        <f>AVERAGEIFS(D2:D488,D2:D488,"&lt;42",D2:D488,"&gt;40",C2:C488,1)</f>
        <v>40.75</v>
      </c>
      <c r="R59" s="10">
        <v>45</v>
      </c>
      <c r="S59" s="30">
        <f t="shared" si="0"/>
        <v>20.130788322049387</v>
      </c>
    </row>
    <row r="60" spans="1:21" x14ac:dyDescent="0.25">
      <c r="A60" s="8">
        <v>3217</v>
      </c>
      <c r="B60" s="8" t="s">
        <v>27</v>
      </c>
      <c r="C60" s="8">
        <v>1</v>
      </c>
      <c r="D60" s="8">
        <v>15</v>
      </c>
      <c r="E60" s="8">
        <v>13.4269792</v>
      </c>
      <c r="F60" s="8">
        <v>13.5</v>
      </c>
      <c r="G60" s="8">
        <v>37</v>
      </c>
      <c r="H60" s="8">
        <v>27</v>
      </c>
      <c r="I60" s="8">
        <v>1.5730208000000001</v>
      </c>
    </row>
    <row r="61" spans="1:21" x14ac:dyDescent="0.25">
      <c r="A61" s="8">
        <v>3068</v>
      </c>
      <c r="B61" s="8" t="s">
        <v>27</v>
      </c>
      <c r="C61" s="8">
        <v>1</v>
      </c>
      <c r="D61" s="8">
        <v>16</v>
      </c>
      <c r="E61" s="8">
        <v>13.454330200000001</v>
      </c>
      <c r="F61" s="8">
        <v>15</v>
      </c>
      <c r="G61" s="8">
        <v>37</v>
      </c>
      <c r="H61" s="8">
        <v>27</v>
      </c>
      <c r="I61" s="8">
        <v>2.5456697999999989</v>
      </c>
    </row>
    <row r="62" spans="1:21" x14ac:dyDescent="0.25">
      <c r="A62" s="8">
        <v>3302</v>
      </c>
      <c r="B62" s="8" t="s">
        <v>27</v>
      </c>
      <c r="C62" s="8">
        <v>1</v>
      </c>
      <c r="D62" s="8">
        <v>16.5</v>
      </c>
      <c r="E62" s="8">
        <v>13.481681200000001</v>
      </c>
      <c r="F62" s="8">
        <v>15.5</v>
      </c>
      <c r="G62" s="8">
        <v>30</v>
      </c>
      <c r="H62" s="8">
        <v>20</v>
      </c>
      <c r="I62" s="8">
        <v>3.0183187999999994</v>
      </c>
    </row>
    <row r="63" spans="1:21" x14ac:dyDescent="0.25">
      <c r="A63" s="8">
        <v>3266</v>
      </c>
      <c r="B63" s="8" t="s">
        <v>27</v>
      </c>
      <c r="C63" s="8">
        <v>1</v>
      </c>
      <c r="D63" s="8">
        <v>15.5</v>
      </c>
      <c r="E63" s="8">
        <v>13.498091799999999</v>
      </c>
      <c r="F63" s="8">
        <v>13</v>
      </c>
      <c r="G63" s="8">
        <v>32</v>
      </c>
      <c r="H63" s="8">
        <v>22</v>
      </c>
      <c r="I63" s="8">
        <v>2.0019082000000008</v>
      </c>
    </row>
    <row r="64" spans="1:21" x14ac:dyDescent="0.25">
      <c r="A64" s="8">
        <v>3117</v>
      </c>
      <c r="B64" s="8" t="s">
        <v>27</v>
      </c>
      <c r="C64" s="8">
        <v>1</v>
      </c>
      <c r="D64" s="8">
        <v>20.5</v>
      </c>
      <c r="E64" s="8">
        <v>13.5783214</v>
      </c>
      <c r="F64" s="8">
        <v>11</v>
      </c>
      <c r="G64" s="8">
        <v>27</v>
      </c>
      <c r="H64" s="8">
        <v>17</v>
      </c>
      <c r="I64" s="8">
        <v>6.9216785999999999</v>
      </c>
    </row>
    <row r="65" spans="1:9" x14ac:dyDescent="0.25">
      <c r="A65" s="8">
        <v>3211</v>
      </c>
      <c r="B65" s="8" t="s">
        <v>27</v>
      </c>
      <c r="C65" s="8">
        <v>1</v>
      </c>
      <c r="D65" s="8">
        <v>13.5</v>
      </c>
      <c r="E65" s="8">
        <v>13.589261800000001</v>
      </c>
      <c r="F65" s="8">
        <v>11.5</v>
      </c>
      <c r="G65" s="8">
        <v>34</v>
      </c>
      <c r="H65" s="8">
        <v>24</v>
      </c>
      <c r="I65" s="8">
        <v>-8.9261800000000946E-2</v>
      </c>
    </row>
    <row r="66" spans="1:9" x14ac:dyDescent="0.25">
      <c r="A66" s="8">
        <v>3366</v>
      </c>
      <c r="B66" s="8" t="s">
        <v>27</v>
      </c>
      <c r="C66" s="8">
        <v>1</v>
      </c>
      <c r="D66" s="8">
        <v>15</v>
      </c>
      <c r="E66" s="8">
        <v>13.634846800000002</v>
      </c>
      <c r="F66" s="8">
        <v>13.5</v>
      </c>
      <c r="G66" s="8">
        <v>37</v>
      </c>
      <c r="H66" s="8">
        <v>27</v>
      </c>
      <c r="I66" s="8">
        <v>1.3651531999999982</v>
      </c>
    </row>
    <row r="67" spans="1:9" x14ac:dyDescent="0.25">
      <c r="A67" s="8">
        <v>3296</v>
      </c>
      <c r="B67" s="8" t="s">
        <v>27</v>
      </c>
      <c r="C67" s="8">
        <v>1</v>
      </c>
      <c r="D67" s="8">
        <v>13</v>
      </c>
      <c r="E67" s="8">
        <v>13.636670199999999</v>
      </c>
      <c r="F67" s="8">
        <v>12</v>
      </c>
      <c r="G67" s="8">
        <v>34</v>
      </c>
      <c r="H67" s="8">
        <v>24</v>
      </c>
      <c r="I67" s="8">
        <v>-0.6366701999999993</v>
      </c>
    </row>
    <row r="68" spans="1:9" x14ac:dyDescent="0.25">
      <c r="A68" s="8">
        <v>3496</v>
      </c>
      <c r="B68" s="8" t="s">
        <v>27</v>
      </c>
      <c r="C68" s="8">
        <v>1</v>
      </c>
      <c r="D68" s="8">
        <v>16</v>
      </c>
      <c r="E68" s="8">
        <v>13.685901999999999</v>
      </c>
      <c r="F68" s="8">
        <v>13.5</v>
      </c>
      <c r="G68" s="8">
        <v>32</v>
      </c>
      <c r="H68" s="8">
        <v>22</v>
      </c>
      <c r="I68" s="8">
        <v>2.3140980000000013</v>
      </c>
    </row>
    <row r="69" spans="1:9" x14ac:dyDescent="0.25">
      <c r="A69" s="8">
        <v>3418</v>
      </c>
      <c r="B69" s="8" t="s">
        <v>27</v>
      </c>
      <c r="C69" s="8">
        <v>1</v>
      </c>
      <c r="D69" s="8">
        <v>17</v>
      </c>
      <c r="E69" s="8">
        <v>13.7515444</v>
      </c>
      <c r="F69" s="8">
        <v>16</v>
      </c>
      <c r="G69" s="8">
        <v>42</v>
      </c>
      <c r="H69" s="8">
        <v>32</v>
      </c>
      <c r="I69" s="8">
        <v>3.2484555999999998</v>
      </c>
    </row>
    <row r="70" spans="1:9" x14ac:dyDescent="0.25">
      <c r="A70" s="8">
        <v>3562</v>
      </c>
      <c r="B70" s="8" t="s">
        <v>27</v>
      </c>
      <c r="C70" s="8">
        <v>1</v>
      </c>
      <c r="D70" s="8">
        <v>16.5</v>
      </c>
      <c r="E70" s="8">
        <v>13.890122799999999</v>
      </c>
      <c r="F70" s="8">
        <v>14</v>
      </c>
      <c r="G70" s="8">
        <v>39</v>
      </c>
      <c r="H70" s="8">
        <v>29</v>
      </c>
      <c r="I70" s="8">
        <v>2.6098772000000015</v>
      </c>
    </row>
    <row r="71" spans="1:9" x14ac:dyDescent="0.25">
      <c r="A71" s="8">
        <v>3284</v>
      </c>
      <c r="B71" s="8" t="s">
        <v>27</v>
      </c>
      <c r="C71" s="8">
        <v>1</v>
      </c>
      <c r="D71" s="8">
        <v>17.5</v>
      </c>
      <c r="E71" s="8">
        <v>13.90471</v>
      </c>
      <c r="F71" s="8">
        <v>13</v>
      </c>
      <c r="G71" s="8">
        <v>35</v>
      </c>
      <c r="H71" s="8">
        <v>25</v>
      </c>
      <c r="I71" s="8">
        <v>3.5952900000000003</v>
      </c>
    </row>
    <row r="72" spans="1:9" x14ac:dyDescent="0.25">
      <c r="A72" s="8">
        <v>3054</v>
      </c>
      <c r="B72" s="8" t="s">
        <v>27</v>
      </c>
      <c r="C72" s="8">
        <v>1</v>
      </c>
      <c r="D72" s="8">
        <v>19</v>
      </c>
      <c r="E72" s="8">
        <v>13.966705599999999</v>
      </c>
      <c r="F72" s="8">
        <v>11.5</v>
      </c>
      <c r="G72" s="8">
        <v>28</v>
      </c>
      <c r="H72" s="8">
        <v>18</v>
      </c>
      <c r="I72" s="8">
        <v>5.0332944000000008</v>
      </c>
    </row>
    <row r="73" spans="1:9" x14ac:dyDescent="0.25">
      <c r="A73" s="8">
        <v>3688</v>
      </c>
      <c r="B73" s="8" t="s">
        <v>27</v>
      </c>
      <c r="C73" s="8">
        <v>1</v>
      </c>
      <c r="D73" s="8">
        <v>16</v>
      </c>
      <c r="E73" s="8">
        <v>14.041464999999999</v>
      </c>
      <c r="F73" s="8">
        <v>12.5</v>
      </c>
      <c r="G73" s="8">
        <v>42</v>
      </c>
      <c r="H73" s="8">
        <v>32</v>
      </c>
      <c r="I73" s="8">
        <v>1.9585350000000012</v>
      </c>
    </row>
    <row r="74" spans="1:9" x14ac:dyDescent="0.25">
      <c r="A74" s="8">
        <v>3237</v>
      </c>
      <c r="B74" s="8" t="s">
        <v>27</v>
      </c>
      <c r="C74" s="8">
        <v>1</v>
      </c>
      <c r="D74" s="8">
        <v>16</v>
      </c>
      <c r="E74" s="8">
        <v>14.048758599999998</v>
      </c>
      <c r="F74" s="8">
        <v>11.5</v>
      </c>
      <c r="G74" s="8">
        <v>33</v>
      </c>
      <c r="H74" s="8">
        <v>23</v>
      </c>
      <c r="I74" s="8">
        <v>1.9512414000000025</v>
      </c>
    </row>
    <row r="75" spans="1:9" x14ac:dyDescent="0.25">
      <c r="A75" s="8">
        <v>3441</v>
      </c>
      <c r="B75" s="8" t="s">
        <v>27</v>
      </c>
      <c r="C75" s="8">
        <v>1</v>
      </c>
      <c r="D75" s="8">
        <v>19</v>
      </c>
      <c r="E75" s="8">
        <v>14.061522400000001</v>
      </c>
      <c r="F75" s="8">
        <v>14</v>
      </c>
      <c r="G75" s="8">
        <v>39</v>
      </c>
      <c r="H75" s="8">
        <v>29</v>
      </c>
      <c r="I75" s="8">
        <v>4.9384775999999988</v>
      </c>
    </row>
    <row r="76" spans="1:9" x14ac:dyDescent="0.25">
      <c r="A76" s="8">
        <v>3187</v>
      </c>
      <c r="B76" s="8" t="s">
        <v>27</v>
      </c>
      <c r="C76" s="8">
        <v>1</v>
      </c>
      <c r="D76" s="8">
        <v>16.5</v>
      </c>
      <c r="E76" s="8">
        <v>14.072462800000002</v>
      </c>
      <c r="F76" s="8">
        <v>14</v>
      </c>
      <c r="G76" s="8">
        <v>41</v>
      </c>
      <c r="H76" s="8">
        <v>31</v>
      </c>
      <c r="I76" s="8">
        <v>2.427537199999998</v>
      </c>
    </row>
    <row r="77" spans="1:9" x14ac:dyDescent="0.25">
      <c r="A77" s="8">
        <v>3033</v>
      </c>
      <c r="B77" s="8" t="s">
        <v>27</v>
      </c>
      <c r="C77" s="8">
        <v>1</v>
      </c>
      <c r="D77" s="8">
        <v>21</v>
      </c>
      <c r="E77" s="8">
        <v>14.147222199999998</v>
      </c>
      <c r="F77" s="8">
        <v>13</v>
      </c>
      <c r="G77" s="8">
        <v>23</v>
      </c>
      <c r="H77" s="8">
        <v>13</v>
      </c>
      <c r="I77" s="8">
        <v>6.8527778000000019</v>
      </c>
    </row>
    <row r="78" spans="1:9" x14ac:dyDescent="0.25">
      <c r="A78" s="8">
        <v>3160</v>
      </c>
      <c r="B78" s="8" t="s">
        <v>27</v>
      </c>
      <c r="C78" s="8">
        <v>1</v>
      </c>
      <c r="D78" s="8">
        <v>18.5</v>
      </c>
      <c r="E78" s="8">
        <v>14.159985999999998</v>
      </c>
      <c r="F78" s="8">
        <v>14</v>
      </c>
      <c r="G78" s="8">
        <v>40</v>
      </c>
      <c r="H78" s="8">
        <v>30</v>
      </c>
      <c r="I78" s="8">
        <v>4.3400140000000018</v>
      </c>
    </row>
    <row r="79" spans="1:9" x14ac:dyDescent="0.25">
      <c r="A79" s="8">
        <v>3156</v>
      </c>
      <c r="B79" s="8" t="s">
        <v>27</v>
      </c>
      <c r="C79" s="8">
        <v>1</v>
      </c>
      <c r="D79" s="8">
        <v>15</v>
      </c>
      <c r="E79" s="8">
        <v>14.2037476</v>
      </c>
      <c r="F79" s="8">
        <v>13</v>
      </c>
      <c r="G79" s="8">
        <v>37</v>
      </c>
      <c r="H79" s="8">
        <v>27</v>
      </c>
      <c r="I79" s="8">
        <v>0.79625240000000019</v>
      </c>
    </row>
    <row r="80" spans="1:9" x14ac:dyDescent="0.25">
      <c r="A80" s="8">
        <v>3580</v>
      </c>
      <c r="B80" s="8" t="s">
        <v>27</v>
      </c>
      <c r="C80" s="8">
        <v>1</v>
      </c>
      <c r="D80" s="8">
        <v>17.5</v>
      </c>
      <c r="E80" s="8">
        <v>14.225628400000002</v>
      </c>
      <c r="F80" s="8">
        <v>10.5</v>
      </c>
      <c r="G80" s="8">
        <v>30</v>
      </c>
      <c r="H80" s="8">
        <v>20</v>
      </c>
      <c r="I80" s="8">
        <v>3.2743715999999985</v>
      </c>
    </row>
    <row r="81" spans="1:9" x14ac:dyDescent="0.25">
      <c r="A81" s="8">
        <v>3225</v>
      </c>
      <c r="B81" s="8" t="s">
        <v>27</v>
      </c>
      <c r="C81" s="8">
        <v>1</v>
      </c>
      <c r="D81" s="8">
        <v>16</v>
      </c>
      <c r="E81" s="8">
        <v>14.2383922</v>
      </c>
      <c r="F81" s="8">
        <v>12.5</v>
      </c>
      <c r="G81" s="8">
        <v>35</v>
      </c>
      <c r="H81" s="8">
        <v>25</v>
      </c>
      <c r="I81" s="8">
        <v>1.7616078000000002</v>
      </c>
    </row>
    <row r="82" spans="1:9" x14ac:dyDescent="0.25">
      <c r="A82" s="8">
        <v>3280</v>
      </c>
      <c r="B82" s="8" t="s">
        <v>27</v>
      </c>
      <c r="C82" s="8">
        <v>1</v>
      </c>
      <c r="D82" s="8">
        <v>18</v>
      </c>
      <c r="E82" s="8">
        <v>14.2383922</v>
      </c>
      <c r="F82" s="8">
        <v>13.5</v>
      </c>
      <c r="G82" s="8">
        <v>36</v>
      </c>
      <c r="H82" s="8">
        <v>26</v>
      </c>
      <c r="I82" s="8">
        <v>3.7616078000000002</v>
      </c>
    </row>
    <row r="83" spans="1:9" x14ac:dyDescent="0.25">
      <c r="A83" s="8">
        <v>3463</v>
      </c>
      <c r="B83" s="8" t="s">
        <v>27</v>
      </c>
      <c r="C83" s="8">
        <v>1</v>
      </c>
      <c r="D83" s="8">
        <v>17</v>
      </c>
      <c r="E83" s="8">
        <v>14.3733238</v>
      </c>
      <c r="F83" s="8">
        <v>14.5</v>
      </c>
      <c r="G83" s="8">
        <v>35</v>
      </c>
      <c r="H83" s="8">
        <v>25</v>
      </c>
      <c r="I83" s="8">
        <v>2.6266762000000003</v>
      </c>
    </row>
    <row r="84" spans="1:9" x14ac:dyDescent="0.25">
      <c r="A84" s="8">
        <v>3408</v>
      </c>
      <c r="B84" s="8" t="s">
        <v>27</v>
      </c>
      <c r="C84" s="8">
        <v>1</v>
      </c>
      <c r="D84" s="8">
        <v>16.5</v>
      </c>
      <c r="E84" s="8">
        <v>14.448083200000001</v>
      </c>
      <c r="F84" s="8">
        <v>16.5</v>
      </c>
      <c r="G84" s="8">
        <v>40</v>
      </c>
      <c r="H84" s="8">
        <v>30</v>
      </c>
      <c r="I84" s="8">
        <v>2.051916799999999</v>
      </c>
    </row>
    <row r="85" spans="1:9" x14ac:dyDescent="0.25">
      <c r="A85" s="8">
        <v>3492</v>
      </c>
      <c r="B85" s="8" t="s">
        <v>27</v>
      </c>
      <c r="C85" s="8">
        <v>1</v>
      </c>
      <c r="D85" s="8">
        <v>20</v>
      </c>
      <c r="E85" s="8">
        <v>14.493668199999998</v>
      </c>
      <c r="F85" s="8">
        <v>13</v>
      </c>
      <c r="G85" s="8">
        <v>30</v>
      </c>
      <c r="H85" s="8">
        <v>20</v>
      </c>
      <c r="I85" s="8">
        <v>5.5063318000000017</v>
      </c>
    </row>
    <row r="86" spans="1:9" x14ac:dyDescent="0.25">
      <c r="A86" s="8">
        <v>3180</v>
      </c>
      <c r="B86" s="8" t="s">
        <v>27</v>
      </c>
      <c r="C86" s="8">
        <v>1</v>
      </c>
      <c r="D86" s="8">
        <v>17</v>
      </c>
      <c r="E86" s="8">
        <v>14.495491599999999</v>
      </c>
      <c r="F86" s="8">
        <v>13</v>
      </c>
      <c r="G86" s="8">
        <v>37</v>
      </c>
      <c r="H86" s="8">
        <v>27</v>
      </c>
      <c r="I86" s="8">
        <v>2.5045084000000006</v>
      </c>
    </row>
    <row r="87" spans="1:9" x14ac:dyDescent="0.25">
      <c r="A87" s="8">
        <v>3164</v>
      </c>
      <c r="B87" s="8" t="s">
        <v>27</v>
      </c>
      <c r="C87" s="8">
        <v>1</v>
      </c>
      <c r="D87" s="8">
        <v>15.5</v>
      </c>
      <c r="E87" s="8">
        <v>14.500961800000001</v>
      </c>
      <c r="F87" s="8">
        <v>13.5</v>
      </c>
      <c r="G87" s="8">
        <v>36</v>
      </c>
      <c r="H87" s="8">
        <v>26</v>
      </c>
      <c r="I87" s="8">
        <v>0.99903819999999932</v>
      </c>
    </row>
    <row r="88" spans="1:9" x14ac:dyDescent="0.25">
      <c r="A88" s="8">
        <v>3548</v>
      </c>
      <c r="B88" s="8" t="s">
        <v>27</v>
      </c>
      <c r="C88" s="8">
        <v>1</v>
      </c>
      <c r="D88" s="8">
        <v>18.5</v>
      </c>
      <c r="E88" s="8">
        <v>14.526489399999999</v>
      </c>
      <c r="F88" s="8">
        <v>11</v>
      </c>
      <c r="G88" s="8">
        <v>38</v>
      </c>
      <c r="H88" s="8">
        <v>28</v>
      </c>
      <c r="I88" s="8">
        <v>3.9735106000000009</v>
      </c>
    </row>
    <row r="89" spans="1:9" x14ac:dyDescent="0.25">
      <c r="A89" s="8">
        <v>3320</v>
      </c>
      <c r="B89" s="8" t="s">
        <v>27</v>
      </c>
      <c r="C89" s="8">
        <v>1</v>
      </c>
      <c r="D89" s="8">
        <v>16.5</v>
      </c>
      <c r="E89" s="8">
        <v>14.530136200000001</v>
      </c>
      <c r="F89" s="8">
        <v>14.5</v>
      </c>
      <c r="G89" s="8">
        <v>34</v>
      </c>
      <c r="H89" s="8">
        <v>24</v>
      </c>
      <c r="I89" s="8">
        <v>1.9698637999999988</v>
      </c>
    </row>
    <row r="90" spans="1:9" x14ac:dyDescent="0.25">
      <c r="A90" s="8">
        <v>3436</v>
      </c>
      <c r="B90" s="8" t="s">
        <v>27</v>
      </c>
      <c r="C90" s="8">
        <v>1</v>
      </c>
      <c r="D90" s="8">
        <v>16.5</v>
      </c>
      <c r="E90" s="8">
        <v>14.681478400000001</v>
      </c>
      <c r="F90" s="8">
        <v>15.5</v>
      </c>
      <c r="G90" s="8">
        <v>41</v>
      </c>
      <c r="H90" s="8">
        <v>31</v>
      </c>
      <c r="I90" s="8">
        <v>1.8185215999999986</v>
      </c>
    </row>
    <row r="91" spans="1:9" x14ac:dyDescent="0.25">
      <c r="A91" s="8">
        <v>3530</v>
      </c>
      <c r="B91" s="8" t="s">
        <v>27</v>
      </c>
      <c r="C91" s="8">
        <v>1</v>
      </c>
      <c r="D91" s="8">
        <v>17.5</v>
      </c>
      <c r="E91" s="8">
        <v>14.727063399999999</v>
      </c>
      <c r="F91" s="8">
        <v>14.5</v>
      </c>
      <c r="G91" s="8">
        <v>37</v>
      </c>
      <c r="H91" s="8">
        <v>27</v>
      </c>
      <c r="I91" s="8">
        <v>2.7729366000000013</v>
      </c>
    </row>
    <row r="92" spans="1:9" x14ac:dyDescent="0.25">
      <c r="A92" s="8">
        <v>3223</v>
      </c>
      <c r="B92" s="8" t="s">
        <v>27</v>
      </c>
      <c r="C92" s="8">
        <v>1</v>
      </c>
      <c r="D92" s="8">
        <v>19.600000000000001</v>
      </c>
      <c r="E92" s="8">
        <v>14.7361804</v>
      </c>
      <c r="F92" s="8">
        <v>13.5</v>
      </c>
      <c r="G92" s="8">
        <v>36</v>
      </c>
      <c r="H92" s="8">
        <v>26</v>
      </c>
      <c r="I92" s="8">
        <v>4.8638196000000011</v>
      </c>
    </row>
    <row r="93" spans="1:9" x14ac:dyDescent="0.25">
      <c r="A93" s="8">
        <v>3623</v>
      </c>
      <c r="B93" s="8" t="s">
        <v>27</v>
      </c>
      <c r="C93" s="8">
        <v>1</v>
      </c>
      <c r="D93" s="8">
        <v>21.5</v>
      </c>
      <c r="E93" s="8">
        <v>14.794529199999999</v>
      </c>
      <c r="F93" s="8">
        <v>14</v>
      </c>
      <c r="G93" s="8">
        <v>38</v>
      </c>
      <c r="H93" s="8">
        <v>28</v>
      </c>
      <c r="I93" s="8">
        <v>6.7054708000000005</v>
      </c>
    </row>
    <row r="94" spans="1:9" x14ac:dyDescent="0.25">
      <c r="A94" s="8">
        <v>3608</v>
      </c>
      <c r="B94" s="8" t="s">
        <v>27</v>
      </c>
      <c r="C94" s="8">
        <v>1</v>
      </c>
      <c r="D94" s="8">
        <v>16</v>
      </c>
      <c r="E94" s="8">
        <v>14.871111999999998</v>
      </c>
      <c r="F94" s="8">
        <v>12</v>
      </c>
      <c r="G94" s="8">
        <v>37</v>
      </c>
      <c r="H94" s="8">
        <v>27</v>
      </c>
      <c r="I94" s="8">
        <v>1.1288880000000017</v>
      </c>
    </row>
    <row r="95" spans="1:9" x14ac:dyDescent="0.25">
      <c r="A95" s="8">
        <v>3390</v>
      </c>
      <c r="B95" s="8" t="s">
        <v>27</v>
      </c>
      <c r="C95" s="8">
        <v>1</v>
      </c>
      <c r="D95" s="8">
        <v>16</v>
      </c>
      <c r="E95" s="8">
        <v>14.934930999999999</v>
      </c>
      <c r="F95" s="8">
        <v>16.5</v>
      </c>
      <c r="G95" s="8">
        <v>37</v>
      </c>
      <c r="H95" s="8">
        <v>27</v>
      </c>
      <c r="I95" s="8">
        <v>1.0650690000000012</v>
      </c>
    </row>
    <row r="96" spans="1:9" x14ac:dyDescent="0.25">
      <c r="A96" s="8">
        <v>3234</v>
      </c>
      <c r="B96" s="8" t="s">
        <v>27</v>
      </c>
      <c r="C96" s="8">
        <v>1</v>
      </c>
      <c r="D96" s="8">
        <v>14</v>
      </c>
      <c r="E96" s="8">
        <v>14.951341599999999</v>
      </c>
      <c r="F96" s="8">
        <v>12</v>
      </c>
      <c r="G96" s="8">
        <v>35</v>
      </c>
      <c r="H96" s="8">
        <v>25</v>
      </c>
      <c r="I96" s="8">
        <v>-0.95134159999999923</v>
      </c>
    </row>
    <row r="97" spans="1:9" x14ac:dyDescent="0.25">
      <c r="A97" s="8">
        <v>3250</v>
      </c>
      <c r="B97" s="8" t="s">
        <v>27</v>
      </c>
      <c r="C97" s="8">
        <v>1</v>
      </c>
      <c r="D97" s="8">
        <v>16</v>
      </c>
      <c r="E97" s="8">
        <v>15.0880966</v>
      </c>
      <c r="G97" s="8">
        <v>38</v>
      </c>
      <c r="H97" s="8">
        <v>28</v>
      </c>
      <c r="I97" s="8">
        <v>0.91190339999999992</v>
      </c>
    </row>
    <row r="98" spans="1:9" x14ac:dyDescent="0.25">
      <c r="A98" s="8">
        <v>3635</v>
      </c>
      <c r="B98" s="8" t="s">
        <v>27</v>
      </c>
      <c r="C98" s="8">
        <v>1</v>
      </c>
      <c r="D98" s="8">
        <v>21.5</v>
      </c>
      <c r="E98" s="8">
        <v>15.1227412</v>
      </c>
      <c r="F98" s="8">
        <v>8</v>
      </c>
      <c r="G98" s="8">
        <v>26</v>
      </c>
      <c r="H98" s="8">
        <v>16</v>
      </c>
      <c r="I98" s="8">
        <v>6.3772587999999999</v>
      </c>
    </row>
    <row r="99" spans="1:9" x14ac:dyDescent="0.25">
      <c r="A99" s="8">
        <v>3093</v>
      </c>
      <c r="B99" s="8" t="s">
        <v>27</v>
      </c>
      <c r="C99" s="8">
        <v>1</v>
      </c>
      <c r="D99" s="8">
        <v>17</v>
      </c>
      <c r="E99" s="8">
        <v>15.159209199999999</v>
      </c>
      <c r="F99" s="8">
        <v>16</v>
      </c>
      <c r="G99" s="8">
        <v>37</v>
      </c>
      <c r="H99" s="8">
        <v>27</v>
      </c>
      <c r="I99" s="8">
        <v>1.8407908000000006</v>
      </c>
    </row>
    <row r="100" spans="1:9" x14ac:dyDescent="0.25">
      <c r="A100" s="8">
        <v>3575</v>
      </c>
      <c r="B100" s="8" t="s">
        <v>27</v>
      </c>
      <c r="C100" s="8">
        <v>1</v>
      </c>
      <c r="D100" s="8">
        <v>20.5</v>
      </c>
      <c r="E100" s="8">
        <v>15.186560199999999</v>
      </c>
      <c r="F100" s="8">
        <v>13</v>
      </c>
      <c r="G100" s="8">
        <v>34</v>
      </c>
      <c r="H100" s="8">
        <v>24</v>
      </c>
      <c r="I100" s="8">
        <v>5.3134398000000012</v>
      </c>
    </row>
    <row r="101" spans="1:9" x14ac:dyDescent="0.25">
      <c r="A101" s="8">
        <v>3074</v>
      </c>
      <c r="B101" s="8" t="s">
        <v>27</v>
      </c>
      <c r="C101" s="8">
        <v>1</v>
      </c>
      <c r="D101" s="8">
        <v>16</v>
      </c>
      <c r="E101" s="8">
        <v>15.299610999999999</v>
      </c>
      <c r="F101" s="8">
        <v>15.5</v>
      </c>
      <c r="G101" s="8">
        <v>33</v>
      </c>
      <c r="H101" s="8">
        <v>23</v>
      </c>
      <c r="I101" s="8">
        <v>0.70038900000000126</v>
      </c>
    </row>
    <row r="102" spans="1:9" x14ac:dyDescent="0.25">
      <c r="A102" s="8">
        <v>3040</v>
      </c>
      <c r="B102" s="8" t="s">
        <v>27</v>
      </c>
      <c r="C102" s="8">
        <v>1</v>
      </c>
      <c r="D102" s="8">
        <v>18.5</v>
      </c>
      <c r="E102" s="8">
        <v>15.385310799999999</v>
      </c>
      <c r="F102" s="8">
        <v>15.5</v>
      </c>
      <c r="G102" s="8">
        <v>35</v>
      </c>
      <c r="H102" s="8">
        <v>25</v>
      </c>
      <c r="I102" s="8">
        <v>3.1146892000000008</v>
      </c>
    </row>
    <row r="103" spans="1:9" x14ac:dyDescent="0.25">
      <c r="A103" s="8">
        <v>3532</v>
      </c>
      <c r="B103" s="8" t="s">
        <v>27</v>
      </c>
      <c r="C103" s="8">
        <v>1</v>
      </c>
      <c r="D103" s="8">
        <v>19.5</v>
      </c>
      <c r="E103" s="8">
        <v>15.403544799999999</v>
      </c>
      <c r="F103" s="8">
        <v>14</v>
      </c>
      <c r="G103" s="8">
        <v>35</v>
      </c>
      <c r="H103" s="8">
        <v>25</v>
      </c>
      <c r="I103" s="8">
        <v>4.0964552000000012</v>
      </c>
    </row>
    <row r="104" spans="1:9" x14ac:dyDescent="0.25">
      <c r="A104" s="8">
        <v>3400</v>
      </c>
      <c r="B104" s="8" t="s">
        <v>27</v>
      </c>
      <c r="C104" s="8">
        <v>1</v>
      </c>
      <c r="D104" s="8">
        <v>16</v>
      </c>
      <c r="E104" s="8">
        <v>15.427249</v>
      </c>
      <c r="F104" s="8">
        <v>17.5</v>
      </c>
      <c r="G104" s="8">
        <v>39</v>
      </c>
      <c r="H104" s="8">
        <v>29</v>
      </c>
      <c r="I104" s="8">
        <v>0.57275100000000023</v>
      </c>
    </row>
    <row r="105" spans="1:9" x14ac:dyDescent="0.25">
      <c r="A105" s="8">
        <v>3104</v>
      </c>
      <c r="B105" s="8" t="s">
        <v>27</v>
      </c>
      <c r="C105" s="8">
        <v>1</v>
      </c>
      <c r="D105" s="8">
        <v>20</v>
      </c>
      <c r="E105" s="8">
        <v>15.430895799999998</v>
      </c>
      <c r="F105" s="8">
        <v>17.5</v>
      </c>
      <c r="G105" s="8">
        <v>34</v>
      </c>
      <c r="H105" s="8">
        <v>24</v>
      </c>
      <c r="I105" s="8">
        <v>4.5691042000000017</v>
      </c>
    </row>
    <row r="106" spans="1:9" x14ac:dyDescent="0.25">
      <c r="A106" s="8">
        <v>3219</v>
      </c>
      <c r="B106" s="8" t="s">
        <v>27</v>
      </c>
      <c r="C106" s="8">
        <v>1</v>
      </c>
      <c r="D106" s="8">
        <v>19.5</v>
      </c>
      <c r="E106" s="8">
        <v>15.611412399999999</v>
      </c>
      <c r="F106" s="8">
        <v>11.5</v>
      </c>
      <c r="G106" s="8">
        <v>39</v>
      </c>
      <c r="H106" s="8">
        <v>29</v>
      </c>
      <c r="I106" s="8">
        <v>3.888587600000001</v>
      </c>
    </row>
    <row r="107" spans="1:9" x14ac:dyDescent="0.25">
      <c r="A107" s="8">
        <v>3357</v>
      </c>
      <c r="B107" s="8" t="s">
        <v>27</v>
      </c>
      <c r="C107" s="8">
        <v>1</v>
      </c>
      <c r="D107" s="8">
        <v>16.5</v>
      </c>
      <c r="E107" s="8">
        <v>15.675231400000001</v>
      </c>
      <c r="F107" s="8">
        <v>13</v>
      </c>
      <c r="G107" s="8">
        <v>35</v>
      </c>
      <c r="H107" s="8">
        <v>25</v>
      </c>
      <c r="I107" s="8">
        <v>0.82476859999999874</v>
      </c>
    </row>
    <row r="108" spans="1:9" x14ac:dyDescent="0.25">
      <c r="A108" s="8">
        <v>3358</v>
      </c>
      <c r="B108" s="8" t="s">
        <v>27</v>
      </c>
      <c r="C108" s="8">
        <v>1</v>
      </c>
      <c r="D108" s="8">
        <v>18</v>
      </c>
      <c r="E108" s="8">
        <v>15.782812</v>
      </c>
      <c r="F108" s="8">
        <v>15</v>
      </c>
      <c r="G108" s="8">
        <v>36</v>
      </c>
      <c r="H108" s="8">
        <v>26</v>
      </c>
      <c r="I108" s="8">
        <v>2.2171880000000002</v>
      </c>
    </row>
    <row r="109" spans="1:9" x14ac:dyDescent="0.25">
      <c r="A109" s="8">
        <v>3150</v>
      </c>
      <c r="B109" s="8" t="s">
        <v>27</v>
      </c>
      <c r="C109" s="8">
        <v>1</v>
      </c>
      <c r="D109" s="8">
        <v>17</v>
      </c>
      <c r="E109" s="8">
        <v>15.837514000000002</v>
      </c>
      <c r="F109" s="8">
        <v>14</v>
      </c>
      <c r="G109" s="8">
        <v>38</v>
      </c>
      <c r="H109" s="8">
        <v>28</v>
      </c>
      <c r="I109" s="8">
        <v>1.1624859999999977</v>
      </c>
    </row>
    <row r="110" spans="1:9" x14ac:dyDescent="0.25">
      <c r="A110" s="8">
        <v>3318</v>
      </c>
      <c r="B110" s="8" t="s">
        <v>27</v>
      </c>
      <c r="C110" s="8">
        <v>1</v>
      </c>
      <c r="D110" s="8">
        <v>20</v>
      </c>
      <c r="E110" s="8">
        <v>15.888569199999999</v>
      </c>
      <c r="F110" s="8">
        <v>13.5</v>
      </c>
      <c r="G110" s="8">
        <v>35</v>
      </c>
      <c r="H110" s="8">
        <v>25</v>
      </c>
      <c r="I110" s="8">
        <v>4.1114308000000008</v>
      </c>
    </row>
    <row r="111" spans="1:9" x14ac:dyDescent="0.25">
      <c r="A111" s="8">
        <v>3480</v>
      </c>
      <c r="B111" s="8" t="s">
        <v>27</v>
      </c>
      <c r="C111" s="8">
        <v>1</v>
      </c>
      <c r="D111" s="8">
        <v>20.5</v>
      </c>
      <c r="E111" s="8">
        <v>15.946918</v>
      </c>
      <c r="F111" s="8">
        <v>16</v>
      </c>
      <c r="G111" s="8">
        <v>35</v>
      </c>
      <c r="H111" s="8">
        <v>25</v>
      </c>
      <c r="I111" s="8">
        <v>4.5530819999999999</v>
      </c>
    </row>
    <row r="112" spans="1:9" x14ac:dyDescent="0.25">
      <c r="A112" s="8">
        <v>3133</v>
      </c>
      <c r="B112" s="8" t="s">
        <v>27</v>
      </c>
      <c r="C112" s="8">
        <v>1</v>
      </c>
      <c r="D112" s="8">
        <v>19</v>
      </c>
      <c r="E112" s="8">
        <v>16.019854000000002</v>
      </c>
      <c r="F112" s="8">
        <v>13</v>
      </c>
      <c r="G112" s="8">
        <v>31</v>
      </c>
      <c r="H112" s="8">
        <v>21</v>
      </c>
      <c r="I112" s="8">
        <v>2.9801459999999977</v>
      </c>
    </row>
    <row r="113" spans="1:9" x14ac:dyDescent="0.25">
      <c r="A113" s="8">
        <v>3221</v>
      </c>
      <c r="B113" s="8" t="s">
        <v>27</v>
      </c>
      <c r="C113" s="8">
        <v>1</v>
      </c>
      <c r="D113" s="8">
        <v>18.5</v>
      </c>
      <c r="E113" s="8">
        <v>16.063615599999999</v>
      </c>
      <c r="F113" s="8">
        <v>12.5</v>
      </c>
      <c r="G113" s="8">
        <v>35</v>
      </c>
      <c r="H113" s="8">
        <v>25</v>
      </c>
      <c r="I113" s="8">
        <v>2.4363844000000014</v>
      </c>
    </row>
    <row r="114" spans="1:9" x14ac:dyDescent="0.25">
      <c r="A114" s="8">
        <v>3163</v>
      </c>
      <c r="B114" s="8" t="s">
        <v>27</v>
      </c>
      <c r="C114" s="8">
        <v>1</v>
      </c>
      <c r="D114" s="8">
        <v>18.5</v>
      </c>
      <c r="E114" s="8">
        <v>16.0690858</v>
      </c>
      <c r="F114" s="8">
        <v>13</v>
      </c>
      <c r="G114" s="8">
        <v>40</v>
      </c>
      <c r="H114" s="8">
        <v>30</v>
      </c>
      <c r="I114" s="8">
        <v>2.4309142000000001</v>
      </c>
    </row>
    <row r="115" spans="1:9" x14ac:dyDescent="0.25">
      <c r="A115" s="8">
        <v>3415</v>
      </c>
      <c r="B115" s="8" t="s">
        <v>27</v>
      </c>
      <c r="C115" s="8">
        <v>1</v>
      </c>
      <c r="D115" s="8">
        <v>18.5</v>
      </c>
      <c r="E115" s="8">
        <v>16.083673000000001</v>
      </c>
      <c r="F115" s="8">
        <v>12</v>
      </c>
      <c r="G115" s="8">
        <v>32</v>
      </c>
      <c r="H115" s="8">
        <v>22</v>
      </c>
      <c r="I115" s="8">
        <v>2.416326999999999</v>
      </c>
    </row>
    <row r="116" spans="1:9" x14ac:dyDescent="0.25">
      <c r="A116" s="8">
        <v>3274</v>
      </c>
      <c r="B116" s="8" t="s">
        <v>27</v>
      </c>
      <c r="C116" s="8">
        <v>1</v>
      </c>
      <c r="D116" s="8">
        <v>21.5</v>
      </c>
      <c r="E116" s="8">
        <v>16.098260199999999</v>
      </c>
      <c r="F116" s="8">
        <v>12</v>
      </c>
      <c r="G116" s="8">
        <v>35</v>
      </c>
      <c r="H116" s="8">
        <v>25</v>
      </c>
      <c r="I116" s="8">
        <v>5.4017398000000014</v>
      </c>
    </row>
    <row r="117" spans="1:9" x14ac:dyDescent="0.25">
      <c r="A117" s="8">
        <v>3135</v>
      </c>
      <c r="B117" s="8" t="s">
        <v>27</v>
      </c>
      <c r="C117" s="8">
        <v>1</v>
      </c>
      <c r="D117" s="8">
        <v>17</v>
      </c>
      <c r="E117" s="8">
        <v>16.116494199999998</v>
      </c>
      <c r="F117" s="8">
        <v>11.5</v>
      </c>
      <c r="G117" s="8">
        <v>34</v>
      </c>
      <c r="H117" s="8">
        <v>24</v>
      </c>
      <c r="I117" s="8">
        <v>0.88350580000000178</v>
      </c>
    </row>
    <row r="118" spans="1:9" x14ac:dyDescent="0.25">
      <c r="A118" s="8">
        <v>3528</v>
      </c>
      <c r="B118" s="8" t="s">
        <v>27</v>
      </c>
      <c r="C118" s="8">
        <v>1</v>
      </c>
      <c r="D118" s="8">
        <v>17.5</v>
      </c>
      <c r="E118" s="8">
        <v>16.136551600000001</v>
      </c>
      <c r="F118" s="8">
        <v>14</v>
      </c>
      <c r="G118" s="8">
        <v>39</v>
      </c>
      <c r="H118" s="8">
        <v>29</v>
      </c>
      <c r="I118" s="8">
        <v>1.3634483999999993</v>
      </c>
    </row>
    <row r="119" spans="1:9" x14ac:dyDescent="0.25">
      <c r="A119" s="8">
        <v>3618</v>
      </c>
      <c r="B119" s="8" t="s">
        <v>27</v>
      </c>
      <c r="C119" s="8">
        <v>1</v>
      </c>
      <c r="D119" s="8">
        <v>16</v>
      </c>
      <c r="E119" s="8">
        <v>16.156609</v>
      </c>
      <c r="F119" s="8">
        <v>12.5</v>
      </c>
      <c r="G119" s="8">
        <v>38</v>
      </c>
      <c r="H119" s="8">
        <v>28</v>
      </c>
      <c r="I119" s="8">
        <v>-0.15660899999999955</v>
      </c>
    </row>
    <row r="120" spans="1:9" x14ac:dyDescent="0.25">
      <c r="A120" s="8">
        <v>3462</v>
      </c>
      <c r="B120" s="8" t="s">
        <v>27</v>
      </c>
      <c r="C120" s="8">
        <v>1</v>
      </c>
      <c r="D120" s="8">
        <v>18.5</v>
      </c>
      <c r="E120" s="8">
        <v>16.204017399999998</v>
      </c>
      <c r="F120" s="8">
        <v>13</v>
      </c>
      <c r="G120" s="8">
        <v>33</v>
      </c>
      <c r="H120" s="8">
        <v>23</v>
      </c>
      <c r="I120" s="8">
        <v>2.2959826000000021</v>
      </c>
    </row>
    <row r="121" spans="1:9" x14ac:dyDescent="0.25">
      <c r="A121" s="8">
        <v>3313</v>
      </c>
      <c r="B121" s="8" t="s">
        <v>27</v>
      </c>
      <c r="C121" s="8">
        <v>1</v>
      </c>
      <c r="D121" s="8">
        <v>17</v>
      </c>
      <c r="E121" s="8">
        <v>16.213134400000001</v>
      </c>
      <c r="F121" s="8">
        <v>14</v>
      </c>
      <c r="G121" s="8">
        <v>36</v>
      </c>
      <c r="H121" s="8">
        <v>26</v>
      </c>
      <c r="I121" s="8">
        <v>0.78686559999999872</v>
      </c>
    </row>
    <row r="122" spans="1:9" x14ac:dyDescent="0.25">
      <c r="A122" s="8">
        <v>3350</v>
      </c>
      <c r="B122" s="8" t="s">
        <v>27</v>
      </c>
      <c r="C122" s="8">
        <v>1</v>
      </c>
      <c r="D122" s="8">
        <v>18.5</v>
      </c>
      <c r="E122" s="8">
        <v>16.348065999999999</v>
      </c>
      <c r="F122" s="8">
        <v>13</v>
      </c>
      <c r="G122" s="8">
        <v>37</v>
      </c>
      <c r="H122" s="8">
        <v>27</v>
      </c>
      <c r="I122" s="8">
        <v>2.1519340000000007</v>
      </c>
    </row>
    <row r="123" spans="1:9" x14ac:dyDescent="0.25">
      <c r="A123" s="8">
        <v>3245</v>
      </c>
      <c r="B123" s="8" t="s">
        <v>27</v>
      </c>
      <c r="C123" s="8">
        <v>1</v>
      </c>
      <c r="D123" s="8">
        <v>20</v>
      </c>
      <c r="E123" s="8">
        <v>16.3553596</v>
      </c>
      <c r="F123" s="8">
        <v>14</v>
      </c>
      <c r="G123" s="8">
        <v>43</v>
      </c>
      <c r="H123" s="8">
        <v>33</v>
      </c>
      <c r="I123" s="8">
        <v>3.6446404000000001</v>
      </c>
    </row>
    <row r="124" spans="1:9" x14ac:dyDescent="0.25">
      <c r="A124" s="8">
        <v>3455</v>
      </c>
      <c r="B124" s="8" t="s">
        <v>27</v>
      </c>
      <c r="C124" s="8">
        <v>1</v>
      </c>
      <c r="D124" s="8">
        <v>19</v>
      </c>
      <c r="E124" s="8">
        <v>16.362653199999997</v>
      </c>
      <c r="F124" s="8">
        <v>15.5</v>
      </c>
      <c r="G124" s="8">
        <v>41</v>
      </c>
      <c r="H124" s="8">
        <v>31</v>
      </c>
      <c r="I124" s="8">
        <v>2.6373468000000031</v>
      </c>
    </row>
    <row r="125" spans="1:9" x14ac:dyDescent="0.25">
      <c r="A125" s="8">
        <v>3406</v>
      </c>
      <c r="B125" s="8" t="s">
        <v>27</v>
      </c>
      <c r="C125" s="8">
        <v>1</v>
      </c>
      <c r="D125" s="8">
        <v>21.5</v>
      </c>
      <c r="E125" s="8">
        <v>16.386357399999998</v>
      </c>
      <c r="F125" s="8">
        <v>16.5</v>
      </c>
      <c r="G125" s="8">
        <v>41</v>
      </c>
      <c r="H125" s="8">
        <v>31</v>
      </c>
      <c r="I125" s="8">
        <v>5.1136426000000021</v>
      </c>
    </row>
    <row r="126" spans="1:9" x14ac:dyDescent="0.25">
      <c r="A126" s="8">
        <v>3099</v>
      </c>
      <c r="B126" s="8" t="s">
        <v>27</v>
      </c>
      <c r="C126" s="8">
        <v>1</v>
      </c>
      <c r="D126" s="8">
        <v>20</v>
      </c>
      <c r="E126" s="8">
        <v>16.479350799999999</v>
      </c>
      <c r="F126" s="8">
        <v>16.5</v>
      </c>
      <c r="G126" s="8">
        <v>36</v>
      </c>
      <c r="H126" s="8">
        <v>26</v>
      </c>
      <c r="I126" s="8">
        <v>3.5206492000000011</v>
      </c>
    </row>
    <row r="127" spans="1:9" x14ac:dyDescent="0.25">
      <c r="A127" s="8">
        <v>3324</v>
      </c>
      <c r="B127" s="8" t="s">
        <v>27</v>
      </c>
      <c r="C127" s="8">
        <v>1</v>
      </c>
      <c r="D127" s="8">
        <v>19.5</v>
      </c>
      <c r="E127" s="8">
        <v>16.524935799999998</v>
      </c>
      <c r="F127" s="8">
        <v>15.5</v>
      </c>
      <c r="G127" s="8">
        <v>38</v>
      </c>
      <c r="H127" s="8">
        <v>28</v>
      </c>
      <c r="I127" s="8">
        <v>2.975064200000002</v>
      </c>
    </row>
    <row r="128" spans="1:9" x14ac:dyDescent="0.25">
      <c r="A128" s="8">
        <v>3342</v>
      </c>
      <c r="B128" s="8" t="s">
        <v>27</v>
      </c>
      <c r="C128" s="8">
        <v>1</v>
      </c>
      <c r="D128" s="8">
        <v>16</v>
      </c>
      <c r="E128" s="8">
        <v>16.652573799999999</v>
      </c>
      <c r="F128" s="8">
        <v>14</v>
      </c>
      <c r="G128" s="8">
        <v>39</v>
      </c>
      <c r="H128" s="8">
        <v>29</v>
      </c>
      <c r="I128" s="8">
        <v>-0.65257379999999898</v>
      </c>
    </row>
    <row r="129" spans="1:9" x14ac:dyDescent="0.25">
      <c r="A129" s="8">
        <v>3235</v>
      </c>
      <c r="B129" s="8" t="s">
        <v>27</v>
      </c>
      <c r="C129" s="8">
        <v>1</v>
      </c>
      <c r="D129" s="8">
        <v>20</v>
      </c>
      <c r="E129" s="8">
        <v>16.667160999999997</v>
      </c>
      <c r="F129" s="8">
        <v>12.5</v>
      </c>
      <c r="G129" s="8">
        <v>37</v>
      </c>
      <c r="H129" s="8">
        <v>27</v>
      </c>
      <c r="I129" s="8">
        <v>3.3328390000000034</v>
      </c>
    </row>
    <row r="130" spans="1:9" x14ac:dyDescent="0.25">
      <c r="A130" s="8">
        <v>3692</v>
      </c>
      <c r="B130" s="8" t="s">
        <v>27</v>
      </c>
      <c r="C130" s="8">
        <v>1</v>
      </c>
      <c r="D130" s="8">
        <v>21</v>
      </c>
      <c r="E130" s="8">
        <v>16.698158800000002</v>
      </c>
      <c r="F130" s="8">
        <v>12.5</v>
      </c>
      <c r="G130" s="8">
        <v>25</v>
      </c>
      <c r="H130" s="8">
        <v>15</v>
      </c>
      <c r="I130" s="8">
        <v>4.3018411999999984</v>
      </c>
    </row>
    <row r="131" spans="1:9" x14ac:dyDescent="0.25">
      <c r="A131" s="8">
        <v>3698</v>
      </c>
      <c r="B131" s="8" t="s">
        <v>27</v>
      </c>
      <c r="C131" s="8">
        <v>1</v>
      </c>
      <c r="D131" s="8">
        <v>19</v>
      </c>
      <c r="E131" s="8">
        <v>16.7109226</v>
      </c>
      <c r="F131" s="8">
        <v>12.5</v>
      </c>
      <c r="G131" s="8">
        <v>37</v>
      </c>
      <c r="H131" s="8">
        <v>27</v>
      </c>
      <c r="I131" s="8">
        <v>2.2890774</v>
      </c>
    </row>
    <row r="132" spans="1:9" x14ac:dyDescent="0.25">
      <c r="A132" s="8">
        <v>3027</v>
      </c>
      <c r="B132" s="8" t="s">
        <v>27</v>
      </c>
      <c r="C132" s="8">
        <v>1</v>
      </c>
      <c r="D132" s="8">
        <v>19</v>
      </c>
      <c r="E132" s="8">
        <v>16.844030799999999</v>
      </c>
      <c r="F132" s="8">
        <v>14</v>
      </c>
      <c r="G132" s="8">
        <v>38</v>
      </c>
      <c r="H132" s="8">
        <v>28</v>
      </c>
      <c r="I132" s="8">
        <v>2.1559692000000013</v>
      </c>
    </row>
    <row r="133" spans="1:9" x14ac:dyDescent="0.25">
      <c r="A133" s="8">
        <v>3435</v>
      </c>
      <c r="B133" s="8" t="s">
        <v>27</v>
      </c>
      <c r="C133" s="8">
        <v>1</v>
      </c>
      <c r="D133" s="8">
        <v>20.5</v>
      </c>
      <c r="E133" s="8">
        <v>16.856794600000001</v>
      </c>
      <c r="F133" s="8">
        <v>14.5</v>
      </c>
      <c r="G133" s="8">
        <v>44</v>
      </c>
      <c r="H133" s="8">
        <v>34</v>
      </c>
      <c r="I133" s="8">
        <v>3.6432053999999994</v>
      </c>
    </row>
    <row r="134" spans="1:9" x14ac:dyDescent="0.25">
      <c r="A134" s="8">
        <v>3327</v>
      </c>
      <c r="B134" s="8" t="s">
        <v>27</v>
      </c>
      <c r="C134" s="8">
        <v>1</v>
      </c>
      <c r="D134" s="8">
        <v>19.5</v>
      </c>
      <c r="E134" s="8">
        <v>16.864088199999998</v>
      </c>
      <c r="F134" s="8">
        <v>15.5</v>
      </c>
      <c r="G134" s="8">
        <v>35</v>
      </c>
      <c r="H134" s="8">
        <v>25</v>
      </c>
      <c r="I134" s="8">
        <v>2.6359118000000024</v>
      </c>
    </row>
    <row r="135" spans="1:9" x14ac:dyDescent="0.25">
      <c r="A135" s="8">
        <v>3294</v>
      </c>
      <c r="B135" s="8" t="s">
        <v>27</v>
      </c>
      <c r="C135" s="8">
        <v>1</v>
      </c>
      <c r="D135" s="8">
        <v>19.5</v>
      </c>
      <c r="E135" s="8">
        <v>16.907849800000001</v>
      </c>
      <c r="F135" s="8">
        <v>15</v>
      </c>
      <c r="G135" s="8">
        <v>31</v>
      </c>
      <c r="H135" s="8">
        <v>21</v>
      </c>
      <c r="I135" s="8">
        <v>2.592150199999999</v>
      </c>
    </row>
    <row r="136" spans="1:9" x14ac:dyDescent="0.25">
      <c r="A136" s="8">
        <v>3046</v>
      </c>
      <c r="B136" s="8" t="s">
        <v>27</v>
      </c>
      <c r="C136" s="8">
        <v>1</v>
      </c>
      <c r="D136" s="8">
        <v>18.5</v>
      </c>
      <c r="E136" s="8">
        <v>16.929730599999999</v>
      </c>
      <c r="F136" s="8">
        <v>14.5</v>
      </c>
      <c r="G136" s="8">
        <v>36</v>
      </c>
      <c r="H136" s="8">
        <v>26</v>
      </c>
      <c r="I136" s="8">
        <v>1.5702694000000008</v>
      </c>
    </row>
    <row r="137" spans="1:9" x14ac:dyDescent="0.25">
      <c r="A137" s="8">
        <v>3326</v>
      </c>
      <c r="B137" s="8" t="s">
        <v>27</v>
      </c>
      <c r="C137" s="8">
        <v>1</v>
      </c>
      <c r="D137" s="8">
        <v>18</v>
      </c>
      <c r="E137" s="8">
        <v>17.017253799999999</v>
      </c>
      <c r="F137" s="8">
        <v>14</v>
      </c>
      <c r="G137" s="8">
        <v>35</v>
      </c>
      <c r="H137" s="8">
        <v>25</v>
      </c>
      <c r="I137" s="8">
        <v>0.98274620000000112</v>
      </c>
    </row>
    <row r="138" spans="1:9" x14ac:dyDescent="0.25">
      <c r="A138" s="8">
        <v>3544</v>
      </c>
      <c r="B138" s="8" t="s">
        <v>27</v>
      </c>
      <c r="C138" s="8">
        <v>1</v>
      </c>
      <c r="D138" s="8">
        <v>20.5</v>
      </c>
      <c r="E138" s="8">
        <v>17.046428199999998</v>
      </c>
      <c r="F138" s="8">
        <v>13</v>
      </c>
      <c r="G138" s="8">
        <v>34</v>
      </c>
      <c r="H138" s="8">
        <v>24</v>
      </c>
      <c r="I138" s="8">
        <v>3.4535718000000024</v>
      </c>
    </row>
    <row r="139" spans="1:9" x14ac:dyDescent="0.25">
      <c r="A139" s="8">
        <v>3460</v>
      </c>
      <c r="B139" s="8" t="s">
        <v>27</v>
      </c>
      <c r="C139" s="8">
        <v>1</v>
      </c>
      <c r="D139" s="8">
        <v>21</v>
      </c>
      <c r="E139" s="8">
        <v>17.079249399999998</v>
      </c>
      <c r="F139" s="8">
        <v>14.5</v>
      </c>
      <c r="G139" s="8">
        <v>38</v>
      </c>
      <c r="H139" s="8">
        <v>28</v>
      </c>
      <c r="I139" s="8">
        <v>3.9207506000000016</v>
      </c>
    </row>
    <row r="140" spans="1:9" x14ac:dyDescent="0.25">
      <c r="A140" s="8">
        <v>3328</v>
      </c>
      <c r="B140" s="8" t="s">
        <v>27</v>
      </c>
      <c r="C140" s="8">
        <v>1</v>
      </c>
      <c r="D140" s="8">
        <v>18.5</v>
      </c>
      <c r="E140" s="8">
        <v>17.0920132</v>
      </c>
      <c r="F140" s="8">
        <v>13.5</v>
      </c>
      <c r="G140" s="8">
        <v>35</v>
      </c>
      <c r="H140" s="8">
        <v>25</v>
      </c>
      <c r="I140" s="8">
        <v>1.4079867999999998</v>
      </c>
    </row>
    <row r="141" spans="1:9" x14ac:dyDescent="0.25">
      <c r="A141" s="8">
        <v>3434</v>
      </c>
      <c r="B141" s="8" t="s">
        <v>27</v>
      </c>
      <c r="C141" s="8">
        <v>1</v>
      </c>
      <c r="D141" s="8">
        <v>18</v>
      </c>
      <c r="E141" s="8">
        <v>17.115717399999998</v>
      </c>
      <c r="F141" s="8">
        <v>15.8</v>
      </c>
      <c r="G141" s="8">
        <v>43</v>
      </c>
      <c r="H141" s="8">
        <v>33</v>
      </c>
      <c r="I141" s="8">
        <v>0.88428260000000236</v>
      </c>
    </row>
    <row r="142" spans="1:9" x14ac:dyDescent="0.25">
      <c r="A142" s="8">
        <v>3367</v>
      </c>
      <c r="B142" s="8" t="s">
        <v>27</v>
      </c>
      <c r="C142" s="8">
        <v>1</v>
      </c>
      <c r="D142" s="8">
        <v>21</v>
      </c>
      <c r="E142" s="8">
        <v>17.285293599999999</v>
      </c>
      <c r="F142" s="8">
        <v>15</v>
      </c>
      <c r="G142" s="8">
        <v>34</v>
      </c>
      <c r="H142" s="8">
        <v>24</v>
      </c>
      <c r="I142" s="8">
        <v>3.7147064000000007</v>
      </c>
    </row>
    <row r="143" spans="1:9" x14ac:dyDescent="0.25">
      <c r="A143" s="8">
        <v>3343</v>
      </c>
      <c r="B143" s="8" t="s">
        <v>27</v>
      </c>
      <c r="C143" s="8">
        <v>1</v>
      </c>
      <c r="D143" s="8">
        <v>20</v>
      </c>
      <c r="E143" s="8">
        <v>17.341819000000001</v>
      </c>
      <c r="F143" s="8">
        <v>15.5</v>
      </c>
      <c r="G143" s="8">
        <v>39</v>
      </c>
      <c r="H143" s="8">
        <v>29</v>
      </c>
      <c r="I143" s="8">
        <v>2.658180999999999</v>
      </c>
    </row>
    <row r="144" spans="1:9" x14ac:dyDescent="0.25">
      <c r="A144" s="8">
        <v>3253</v>
      </c>
      <c r="B144" s="8" t="s">
        <v>27</v>
      </c>
      <c r="C144" s="8">
        <v>1</v>
      </c>
      <c r="D144" s="8">
        <v>20</v>
      </c>
      <c r="E144" s="8">
        <v>17.354582799999999</v>
      </c>
      <c r="F144" s="8">
        <v>14</v>
      </c>
      <c r="G144" s="8">
        <v>36</v>
      </c>
      <c r="H144" s="8">
        <v>26</v>
      </c>
      <c r="I144" s="8">
        <v>2.6454172000000007</v>
      </c>
    </row>
    <row r="145" spans="1:9" x14ac:dyDescent="0.25">
      <c r="A145" s="8">
        <v>3485</v>
      </c>
      <c r="B145" s="8" t="s">
        <v>27</v>
      </c>
      <c r="C145" s="8">
        <v>1</v>
      </c>
      <c r="D145" s="8">
        <v>19.5</v>
      </c>
      <c r="E145" s="8">
        <v>17.3709934</v>
      </c>
      <c r="F145" s="8">
        <v>12.5</v>
      </c>
      <c r="G145" s="8">
        <v>35</v>
      </c>
      <c r="H145" s="8">
        <v>25</v>
      </c>
      <c r="I145" s="8">
        <v>2.1290066000000003</v>
      </c>
    </row>
    <row r="146" spans="1:9" x14ac:dyDescent="0.25">
      <c r="A146" s="8">
        <v>3416</v>
      </c>
      <c r="B146" s="8" t="s">
        <v>27</v>
      </c>
      <c r="C146" s="8">
        <v>1</v>
      </c>
      <c r="D146" s="8">
        <v>21.5</v>
      </c>
      <c r="E146" s="8">
        <v>17.407461399999999</v>
      </c>
      <c r="F146" s="8">
        <v>15</v>
      </c>
      <c r="G146" s="8">
        <v>53</v>
      </c>
      <c r="H146" s="8">
        <v>43</v>
      </c>
      <c r="I146" s="8">
        <v>4.092538600000001</v>
      </c>
    </row>
    <row r="147" spans="1:9" x14ac:dyDescent="0.25">
      <c r="A147" s="8">
        <v>3041</v>
      </c>
      <c r="B147" s="8" t="s">
        <v>27</v>
      </c>
      <c r="C147" s="8">
        <v>1</v>
      </c>
      <c r="D147" s="8">
        <v>20</v>
      </c>
      <c r="E147" s="8">
        <v>17.425695399999999</v>
      </c>
      <c r="F147" s="8">
        <v>16</v>
      </c>
      <c r="G147" s="8">
        <v>32</v>
      </c>
      <c r="H147" s="8">
        <v>22</v>
      </c>
      <c r="I147" s="8">
        <v>2.5743046000000014</v>
      </c>
    </row>
    <row r="148" spans="1:9" x14ac:dyDescent="0.25">
      <c r="A148" s="8">
        <v>3308</v>
      </c>
      <c r="B148" s="8" t="s">
        <v>27</v>
      </c>
      <c r="C148" s="8">
        <v>1</v>
      </c>
      <c r="D148" s="8">
        <v>22.5</v>
      </c>
      <c r="E148" s="8">
        <v>17.467633599999999</v>
      </c>
      <c r="F148" s="8">
        <v>17</v>
      </c>
      <c r="G148" s="8">
        <v>38</v>
      </c>
      <c r="H148" s="8">
        <v>28</v>
      </c>
      <c r="I148" s="8">
        <v>5.0323664000000008</v>
      </c>
    </row>
    <row r="149" spans="1:9" x14ac:dyDescent="0.25">
      <c r="A149" s="8">
        <v>3288</v>
      </c>
      <c r="B149" s="8" t="s">
        <v>27</v>
      </c>
      <c r="C149" s="8">
        <v>1</v>
      </c>
      <c r="D149" s="8">
        <v>20</v>
      </c>
      <c r="E149" s="8">
        <v>17.507748399999997</v>
      </c>
      <c r="F149" s="8">
        <v>14</v>
      </c>
      <c r="G149" s="8">
        <v>37</v>
      </c>
      <c r="H149" s="8">
        <v>27</v>
      </c>
      <c r="I149" s="8">
        <v>2.492251600000003</v>
      </c>
    </row>
    <row r="150" spans="1:9" x14ac:dyDescent="0.25">
      <c r="A150" s="8">
        <v>3064</v>
      </c>
      <c r="B150" s="8" t="s">
        <v>27</v>
      </c>
      <c r="C150" s="8">
        <v>1</v>
      </c>
      <c r="D150" s="8">
        <v>21.5</v>
      </c>
      <c r="E150" s="8">
        <v>17.540569600000001</v>
      </c>
      <c r="F150" s="8">
        <v>14</v>
      </c>
      <c r="G150" s="8">
        <v>36</v>
      </c>
      <c r="H150" s="8">
        <v>26</v>
      </c>
      <c r="I150" s="8">
        <v>3.9594303999999987</v>
      </c>
    </row>
    <row r="151" spans="1:9" x14ac:dyDescent="0.25">
      <c r="A151" s="8">
        <v>3256</v>
      </c>
      <c r="B151" s="8" t="s">
        <v>27</v>
      </c>
      <c r="C151" s="8">
        <v>1</v>
      </c>
      <c r="D151" s="8">
        <v>20</v>
      </c>
      <c r="E151" s="8">
        <v>17.555156799999999</v>
      </c>
      <c r="F151" s="8">
        <v>14</v>
      </c>
      <c r="G151" s="8">
        <v>35</v>
      </c>
      <c r="H151" s="8">
        <v>25</v>
      </c>
      <c r="I151" s="8">
        <v>2.4448432000000011</v>
      </c>
    </row>
    <row r="152" spans="1:9" x14ac:dyDescent="0.25">
      <c r="A152" s="8">
        <v>3276</v>
      </c>
      <c r="B152" s="8" t="s">
        <v>27</v>
      </c>
      <c r="C152" s="8">
        <v>1</v>
      </c>
      <c r="D152" s="8">
        <v>22</v>
      </c>
      <c r="E152" s="8">
        <v>17.571567399999999</v>
      </c>
      <c r="F152" s="8">
        <v>8</v>
      </c>
      <c r="G152" s="8">
        <v>36</v>
      </c>
      <c r="H152" s="8">
        <v>26</v>
      </c>
      <c r="I152" s="8">
        <v>4.4284326000000007</v>
      </c>
    </row>
    <row r="153" spans="1:9" x14ac:dyDescent="0.25">
      <c r="A153" s="8">
        <v>3639</v>
      </c>
      <c r="B153" s="8" t="s">
        <v>27</v>
      </c>
      <c r="C153" s="8">
        <v>1</v>
      </c>
      <c r="D153" s="8">
        <v>28</v>
      </c>
      <c r="E153" s="8">
        <v>17.5861546</v>
      </c>
      <c r="F153" s="8">
        <v>12</v>
      </c>
      <c r="G153" s="8">
        <v>32</v>
      </c>
      <c r="H153" s="8">
        <v>22</v>
      </c>
      <c r="I153" s="8">
        <v>10.4138454</v>
      </c>
    </row>
    <row r="154" spans="1:9" x14ac:dyDescent="0.25">
      <c r="A154" s="8">
        <v>3518</v>
      </c>
      <c r="B154" s="8" t="s">
        <v>27</v>
      </c>
      <c r="C154" s="8">
        <v>1</v>
      </c>
      <c r="D154" s="8">
        <v>23</v>
      </c>
      <c r="E154" s="8">
        <v>17.721086199999998</v>
      </c>
      <c r="F154" s="8">
        <v>16</v>
      </c>
      <c r="G154" s="8">
        <v>38</v>
      </c>
      <c r="H154" s="8">
        <v>28</v>
      </c>
      <c r="I154" s="8">
        <v>5.2789138000000015</v>
      </c>
    </row>
    <row r="155" spans="1:9" x14ac:dyDescent="0.25">
      <c r="A155" s="8">
        <v>3261</v>
      </c>
      <c r="B155" s="8" t="s">
        <v>27</v>
      </c>
      <c r="C155" s="8">
        <v>1</v>
      </c>
      <c r="D155" s="8">
        <v>22</v>
      </c>
      <c r="E155" s="8">
        <v>17.7356734</v>
      </c>
      <c r="F155" s="8">
        <v>16</v>
      </c>
      <c r="G155" s="8">
        <v>35</v>
      </c>
      <c r="H155" s="8">
        <v>25</v>
      </c>
      <c r="I155" s="8">
        <v>4.2643266000000004</v>
      </c>
    </row>
    <row r="156" spans="1:9" x14ac:dyDescent="0.25">
      <c r="A156" s="8">
        <v>3386</v>
      </c>
      <c r="B156" s="8" t="s">
        <v>27</v>
      </c>
      <c r="C156" s="8">
        <v>1</v>
      </c>
      <c r="D156" s="8">
        <v>19.5</v>
      </c>
      <c r="E156" s="8">
        <v>17.7684946</v>
      </c>
      <c r="F156" s="8">
        <v>12.5</v>
      </c>
      <c r="G156" s="8">
        <v>38</v>
      </c>
      <c r="H156" s="8">
        <v>28</v>
      </c>
      <c r="I156" s="8">
        <v>1.7315053999999996</v>
      </c>
    </row>
    <row r="157" spans="1:9" x14ac:dyDescent="0.25">
      <c r="A157" s="8">
        <v>3009</v>
      </c>
      <c r="B157" s="8" t="s">
        <v>27</v>
      </c>
      <c r="C157" s="8">
        <v>1</v>
      </c>
      <c r="D157" s="8">
        <v>20</v>
      </c>
      <c r="E157" s="8">
        <v>17.7867286</v>
      </c>
      <c r="F157" s="8">
        <v>15</v>
      </c>
      <c r="G157" s="8">
        <v>36</v>
      </c>
      <c r="H157" s="8">
        <v>26</v>
      </c>
      <c r="I157" s="8">
        <v>2.2132714</v>
      </c>
    </row>
    <row r="158" spans="1:9" x14ac:dyDescent="0.25">
      <c r="A158" s="8">
        <v>3533</v>
      </c>
      <c r="B158" s="8" t="s">
        <v>27</v>
      </c>
      <c r="C158" s="8">
        <v>1</v>
      </c>
      <c r="D158" s="8">
        <v>24.5</v>
      </c>
      <c r="E158" s="8">
        <v>17.792198800000001</v>
      </c>
      <c r="F158" s="8">
        <v>17</v>
      </c>
      <c r="G158" s="8">
        <v>37</v>
      </c>
      <c r="H158" s="8">
        <v>27</v>
      </c>
      <c r="I158" s="8">
        <v>6.7078011999999987</v>
      </c>
    </row>
    <row r="159" spans="1:9" x14ac:dyDescent="0.25">
      <c r="A159" s="8">
        <v>3283</v>
      </c>
      <c r="B159" s="8" t="s">
        <v>27</v>
      </c>
      <c r="C159" s="8">
        <v>1</v>
      </c>
      <c r="D159" s="8">
        <v>20.5</v>
      </c>
      <c r="E159" s="8">
        <v>17.812256199999997</v>
      </c>
      <c r="F159" s="8">
        <v>14</v>
      </c>
      <c r="G159" s="8">
        <v>34</v>
      </c>
      <c r="H159" s="8">
        <v>24</v>
      </c>
      <c r="I159" s="8">
        <v>2.6877438000000033</v>
      </c>
    </row>
    <row r="160" spans="1:9" x14ac:dyDescent="0.25">
      <c r="A160" s="8">
        <v>3101</v>
      </c>
      <c r="B160" s="8" t="s">
        <v>27</v>
      </c>
      <c r="C160" s="8">
        <v>1</v>
      </c>
      <c r="D160" s="8">
        <v>20.5</v>
      </c>
      <c r="E160" s="8">
        <v>17.952658</v>
      </c>
      <c r="F160" s="8">
        <v>16</v>
      </c>
      <c r="G160" s="8">
        <v>35</v>
      </c>
      <c r="H160" s="8">
        <v>25</v>
      </c>
      <c r="I160" s="8">
        <v>2.5473420000000004</v>
      </c>
    </row>
    <row r="161" spans="1:9" x14ac:dyDescent="0.25">
      <c r="A161" s="8">
        <v>3393</v>
      </c>
      <c r="B161" s="8" t="s">
        <v>27</v>
      </c>
      <c r="C161" s="8">
        <v>1</v>
      </c>
      <c r="D161" s="8">
        <v>19.5</v>
      </c>
      <c r="E161" s="8">
        <v>17.958128199999997</v>
      </c>
      <c r="F161" s="8">
        <v>15</v>
      </c>
      <c r="G161" s="8">
        <v>38</v>
      </c>
      <c r="H161" s="8">
        <v>28</v>
      </c>
      <c r="I161" s="8">
        <v>1.5418718000000027</v>
      </c>
    </row>
    <row r="162" spans="1:9" x14ac:dyDescent="0.25">
      <c r="A162" s="8">
        <v>3275</v>
      </c>
      <c r="B162" s="8" t="s">
        <v>27</v>
      </c>
      <c r="C162" s="8">
        <v>1</v>
      </c>
      <c r="D162" s="8">
        <v>20.5</v>
      </c>
      <c r="E162" s="8">
        <v>17.9690686</v>
      </c>
      <c r="F162" s="8">
        <v>13</v>
      </c>
      <c r="G162" s="8">
        <v>34</v>
      </c>
      <c r="H162" s="8">
        <v>24</v>
      </c>
      <c r="I162" s="8">
        <v>2.5309314000000001</v>
      </c>
    </row>
    <row r="163" spans="1:9" x14ac:dyDescent="0.25">
      <c r="A163" s="8">
        <v>3651</v>
      </c>
      <c r="B163" s="8" t="s">
        <v>27</v>
      </c>
      <c r="C163" s="8">
        <v>1</v>
      </c>
      <c r="D163" s="8">
        <v>23</v>
      </c>
      <c r="E163" s="8">
        <v>17.9781856</v>
      </c>
      <c r="F163" s="8">
        <v>11</v>
      </c>
      <c r="G163" s="8">
        <v>34</v>
      </c>
      <c r="H163" s="8">
        <v>24</v>
      </c>
      <c r="I163" s="8">
        <v>5.0218144000000002</v>
      </c>
    </row>
    <row r="164" spans="1:9" x14ac:dyDescent="0.25">
      <c r="A164" s="8">
        <v>3487</v>
      </c>
      <c r="B164" s="8" t="s">
        <v>27</v>
      </c>
      <c r="C164" s="8">
        <v>1</v>
      </c>
      <c r="D164" s="8">
        <v>23</v>
      </c>
      <c r="E164" s="8">
        <v>18.016476999999998</v>
      </c>
      <c r="F164" s="8">
        <v>15.5</v>
      </c>
      <c r="G164" s="8">
        <v>31</v>
      </c>
      <c r="H164" s="8">
        <v>21</v>
      </c>
      <c r="I164" s="8">
        <v>4.9835230000000017</v>
      </c>
    </row>
    <row r="165" spans="1:9" x14ac:dyDescent="0.25">
      <c r="A165" s="8">
        <v>3192</v>
      </c>
      <c r="B165" s="8" t="s">
        <v>27</v>
      </c>
      <c r="C165" s="8">
        <v>1</v>
      </c>
      <c r="D165" s="8">
        <v>25</v>
      </c>
      <c r="E165" s="8">
        <v>18.184229800000001</v>
      </c>
      <c r="F165" s="8">
        <v>16.5</v>
      </c>
      <c r="G165" s="8">
        <v>35</v>
      </c>
      <c r="H165" s="8">
        <v>25</v>
      </c>
      <c r="I165" s="8">
        <v>6.8157701999999993</v>
      </c>
    </row>
    <row r="166" spans="1:9" x14ac:dyDescent="0.25">
      <c r="A166" s="8">
        <v>3239</v>
      </c>
      <c r="B166" s="8" t="s">
        <v>27</v>
      </c>
      <c r="C166" s="8">
        <v>1</v>
      </c>
      <c r="D166" s="8">
        <v>19</v>
      </c>
      <c r="E166" s="8">
        <v>18.200640400000001</v>
      </c>
      <c r="F166" s="8">
        <v>12</v>
      </c>
      <c r="G166" s="8">
        <v>30</v>
      </c>
      <c r="H166" s="8">
        <v>20</v>
      </c>
      <c r="I166" s="8">
        <v>0.79935959999999895</v>
      </c>
    </row>
    <row r="167" spans="1:9" x14ac:dyDescent="0.25">
      <c r="A167" s="8">
        <v>3332</v>
      </c>
      <c r="B167" s="8" t="s">
        <v>27</v>
      </c>
      <c r="C167" s="8">
        <v>1</v>
      </c>
      <c r="D167" s="8">
        <v>22</v>
      </c>
      <c r="E167" s="8">
        <v>18.209757399999997</v>
      </c>
      <c r="F167" s="8">
        <v>15.5</v>
      </c>
      <c r="G167" s="8">
        <v>37</v>
      </c>
      <c r="H167" s="8">
        <v>27</v>
      </c>
      <c r="I167" s="8">
        <v>3.7902426000000027</v>
      </c>
    </row>
    <row r="168" spans="1:9" x14ac:dyDescent="0.25">
      <c r="A168" s="8">
        <v>3325</v>
      </c>
      <c r="B168" s="8" t="s">
        <v>27</v>
      </c>
      <c r="C168" s="8">
        <v>1</v>
      </c>
      <c r="D168" s="8">
        <v>19.5</v>
      </c>
      <c r="E168" s="8">
        <v>18.2644594</v>
      </c>
      <c r="F168" s="8">
        <v>16</v>
      </c>
      <c r="G168" s="8">
        <v>37</v>
      </c>
      <c r="H168" s="8">
        <v>27</v>
      </c>
      <c r="I168" s="8">
        <v>1.2355406000000002</v>
      </c>
    </row>
    <row r="169" spans="1:9" x14ac:dyDescent="0.25">
      <c r="A169" s="8">
        <v>3685</v>
      </c>
      <c r="B169" s="8" t="s">
        <v>27</v>
      </c>
      <c r="C169" s="8">
        <v>1</v>
      </c>
      <c r="D169" s="8">
        <v>21.5</v>
      </c>
      <c r="E169" s="8">
        <v>18.339218800000001</v>
      </c>
      <c r="F169" s="8">
        <v>23.5</v>
      </c>
      <c r="G169" s="8">
        <v>47</v>
      </c>
      <c r="H169" s="8">
        <v>37</v>
      </c>
      <c r="I169" s="8">
        <v>3.1607811999999988</v>
      </c>
    </row>
    <row r="170" spans="1:9" x14ac:dyDescent="0.25">
      <c r="A170" s="8">
        <v>3026</v>
      </c>
      <c r="B170" s="8" t="s">
        <v>27</v>
      </c>
      <c r="C170" s="8">
        <v>1</v>
      </c>
      <c r="D170" s="8">
        <v>19</v>
      </c>
      <c r="E170" s="8">
        <v>18.372039999999998</v>
      </c>
      <c r="F170" s="8">
        <v>13</v>
      </c>
      <c r="G170" s="8">
        <v>33</v>
      </c>
      <c r="H170" s="8">
        <v>23</v>
      </c>
      <c r="I170" s="8">
        <v>0.62796000000000163</v>
      </c>
    </row>
    <row r="171" spans="1:9" x14ac:dyDescent="0.25">
      <c r="A171" s="8">
        <v>3228</v>
      </c>
      <c r="B171" s="8" t="s">
        <v>27</v>
      </c>
      <c r="C171" s="8">
        <v>1</v>
      </c>
      <c r="D171" s="8">
        <v>23</v>
      </c>
      <c r="E171" s="8">
        <v>18.3866272</v>
      </c>
      <c r="F171" s="8">
        <v>13</v>
      </c>
      <c r="G171" s="8">
        <v>26</v>
      </c>
      <c r="H171" s="8">
        <v>16</v>
      </c>
      <c r="I171" s="8">
        <v>4.6133728000000005</v>
      </c>
    </row>
    <row r="172" spans="1:9" x14ac:dyDescent="0.25">
      <c r="A172" s="8">
        <v>3604</v>
      </c>
      <c r="B172" s="8" t="s">
        <v>27</v>
      </c>
      <c r="C172" s="8">
        <v>1</v>
      </c>
      <c r="D172" s="8">
        <v>21.5</v>
      </c>
      <c r="E172" s="8">
        <v>18.485090799999998</v>
      </c>
      <c r="F172" s="8">
        <v>14</v>
      </c>
      <c r="G172" s="8">
        <v>28</v>
      </c>
      <c r="H172" s="8">
        <v>18</v>
      </c>
      <c r="I172" s="8">
        <v>3.0149092000000017</v>
      </c>
    </row>
    <row r="173" spans="1:9" x14ac:dyDescent="0.25">
      <c r="A173" s="8">
        <v>3513</v>
      </c>
      <c r="B173" s="8" t="s">
        <v>27</v>
      </c>
      <c r="C173" s="8">
        <v>1</v>
      </c>
      <c r="D173" s="8">
        <v>26</v>
      </c>
      <c r="E173" s="8">
        <v>18.5233822</v>
      </c>
      <c r="F173" s="8">
        <v>13</v>
      </c>
      <c r="G173" s="8">
        <v>25</v>
      </c>
      <c r="H173" s="8">
        <v>15</v>
      </c>
      <c r="I173" s="8">
        <v>7.4766177999999996</v>
      </c>
    </row>
    <row r="174" spans="1:9" x14ac:dyDescent="0.25">
      <c r="A174" s="8">
        <v>3080</v>
      </c>
      <c r="B174" s="8" t="s">
        <v>27</v>
      </c>
      <c r="C174" s="8">
        <v>1</v>
      </c>
      <c r="D174" s="8">
        <v>20.5</v>
      </c>
      <c r="E174" s="8">
        <v>18.5507332</v>
      </c>
      <c r="F174" s="8">
        <v>16</v>
      </c>
      <c r="G174" s="8">
        <v>37</v>
      </c>
      <c r="H174" s="8">
        <v>27</v>
      </c>
      <c r="I174" s="8">
        <v>1.9492668000000002</v>
      </c>
    </row>
    <row r="175" spans="1:9" x14ac:dyDescent="0.25">
      <c r="A175" s="8">
        <v>3375</v>
      </c>
      <c r="B175" s="8" t="s">
        <v>27</v>
      </c>
      <c r="C175" s="8">
        <v>1</v>
      </c>
      <c r="D175" s="8">
        <v>28</v>
      </c>
      <c r="E175" s="8">
        <v>18.563496999999998</v>
      </c>
      <c r="F175" s="8">
        <v>15</v>
      </c>
      <c r="G175" s="8">
        <v>28</v>
      </c>
      <c r="H175" s="8">
        <v>18</v>
      </c>
      <c r="I175" s="8">
        <v>9.4365030000000019</v>
      </c>
    </row>
    <row r="176" spans="1:9" x14ac:dyDescent="0.25">
      <c r="A176" s="8">
        <v>3693</v>
      </c>
      <c r="B176" s="8" t="s">
        <v>27</v>
      </c>
      <c r="C176" s="8">
        <v>1</v>
      </c>
      <c r="D176" s="8">
        <v>24.5</v>
      </c>
      <c r="E176" s="8">
        <v>18.565320399999997</v>
      </c>
      <c r="F176" s="8">
        <v>14.5</v>
      </c>
      <c r="G176" s="8">
        <v>35</v>
      </c>
      <c r="H176" s="8">
        <v>25</v>
      </c>
      <c r="I176" s="8">
        <v>5.9346796000000026</v>
      </c>
    </row>
    <row r="177" spans="1:9" x14ac:dyDescent="0.25">
      <c r="A177" s="8">
        <v>3351</v>
      </c>
      <c r="B177" s="8" t="s">
        <v>27</v>
      </c>
      <c r="C177" s="8">
        <v>1</v>
      </c>
      <c r="D177" s="8">
        <v>20</v>
      </c>
      <c r="E177" s="8">
        <v>18.6382564</v>
      </c>
      <c r="F177" s="8">
        <v>14</v>
      </c>
      <c r="G177" s="8">
        <v>38</v>
      </c>
      <c r="H177" s="8">
        <v>28</v>
      </c>
      <c r="I177" s="8">
        <v>1.3617436000000005</v>
      </c>
    </row>
    <row r="178" spans="1:9" x14ac:dyDescent="0.25">
      <c r="A178" s="8">
        <v>3175</v>
      </c>
      <c r="B178" s="8" t="s">
        <v>27</v>
      </c>
      <c r="C178" s="8">
        <v>1</v>
      </c>
      <c r="D178" s="8">
        <v>21</v>
      </c>
      <c r="E178" s="8">
        <v>18.654666999999996</v>
      </c>
      <c r="F178" s="8">
        <v>13.5</v>
      </c>
      <c r="G178" s="8">
        <v>37</v>
      </c>
      <c r="H178" s="8">
        <v>27</v>
      </c>
      <c r="I178" s="8">
        <v>2.3453330000000037</v>
      </c>
    </row>
    <row r="179" spans="1:9" x14ac:dyDescent="0.25">
      <c r="A179" s="8">
        <v>3365</v>
      </c>
      <c r="B179" s="8" t="s">
        <v>27</v>
      </c>
      <c r="C179" s="8">
        <v>1</v>
      </c>
      <c r="D179" s="8">
        <v>21.5</v>
      </c>
      <c r="E179" s="8">
        <v>18.720309400000001</v>
      </c>
      <c r="F179" s="8">
        <v>13</v>
      </c>
      <c r="G179" s="8">
        <v>37</v>
      </c>
      <c r="H179" s="8">
        <v>27</v>
      </c>
      <c r="I179" s="8">
        <v>2.7796905999999986</v>
      </c>
    </row>
    <row r="180" spans="1:9" x14ac:dyDescent="0.25">
      <c r="A180" s="8">
        <v>3468</v>
      </c>
      <c r="B180" s="8" t="s">
        <v>27</v>
      </c>
      <c r="C180" s="8">
        <v>1</v>
      </c>
      <c r="D180" s="8">
        <v>20.5</v>
      </c>
      <c r="E180" s="8">
        <v>18.816949599999997</v>
      </c>
      <c r="F180" s="8">
        <v>13</v>
      </c>
      <c r="G180" s="8">
        <v>33</v>
      </c>
      <c r="H180" s="8">
        <v>23</v>
      </c>
      <c r="I180" s="8">
        <v>1.6830504000000026</v>
      </c>
    </row>
    <row r="181" spans="1:9" x14ac:dyDescent="0.25">
      <c r="A181" s="8">
        <v>3182</v>
      </c>
      <c r="B181" s="8" t="s">
        <v>27</v>
      </c>
      <c r="C181" s="8">
        <v>1</v>
      </c>
      <c r="D181" s="8">
        <v>20.5</v>
      </c>
      <c r="E181" s="8">
        <v>18.820596399999999</v>
      </c>
      <c r="F181" s="8">
        <v>14.5</v>
      </c>
      <c r="G181" s="8">
        <v>37</v>
      </c>
      <c r="H181" s="8">
        <v>27</v>
      </c>
      <c r="I181" s="8">
        <v>1.6794036000000006</v>
      </c>
    </row>
    <row r="182" spans="1:9" x14ac:dyDescent="0.25">
      <c r="A182" s="8">
        <v>3616</v>
      </c>
      <c r="B182" s="8" t="s">
        <v>27</v>
      </c>
      <c r="C182" s="8">
        <v>1</v>
      </c>
      <c r="D182" s="8">
        <v>22.5</v>
      </c>
      <c r="E182" s="8">
        <v>18.9318238</v>
      </c>
      <c r="F182" s="8">
        <v>16.5</v>
      </c>
      <c r="G182" s="8">
        <v>37</v>
      </c>
      <c r="H182" s="8">
        <v>27</v>
      </c>
      <c r="I182" s="8">
        <v>3.5681761999999999</v>
      </c>
    </row>
    <row r="183" spans="1:9" x14ac:dyDescent="0.25">
      <c r="A183" s="8">
        <v>3082</v>
      </c>
      <c r="B183" s="8" t="s">
        <v>27</v>
      </c>
      <c r="C183" s="8">
        <v>1</v>
      </c>
      <c r="D183" s="8">
        <v>20</v>
      </c>
      <c r="E183" s="8">
        <v>18.935470600000002</v>
      </c>
      <c r="F183" s="8">
        <v>15</v>
      </c>
      <c r="G183" s="8">
        <v>35</v>
      </c>
      <c r="H183" s="8">
        <v>25</v>
      </c>
      <c r="I183" s="8">
        <v>1.0645293999999978</v>
      </c>
    </row>
    <row r="184" spans="1:9" x14ac:dyDescent="0.25">
      <c r="A184" s="8">
        <v>3545</v>
      </c>
      <c r="B184" s="8" t="s">
        <v>27</v>
      </c>
      <c r="C184" s="8">
        <v>1</v>
      </c>
      <c r="D184" s="8">
        <v>18.5</v>
      </c>
      <c r="E184" s="8">
        <v>18.955528000000001</v>
      </c>
      <c r="F184" s="8">
        <v>9.5</v>
      </c>
      <c r="G184" s="8">
        <v>42</v>
      </c>
      <c r="H184" s="8">
        <v>32</v>
      </c>
      <c r="I184" s="8">
        <v>-0.45552800000000104</v>
      </c>
    </row>
    <row r="185" spans="1:9" x14ac:dyDescent="0.25">
      <c r="A185" s="8">
        <v>3428</v>
      </c>
      <c r="B185" s="8" t="s">
        <v>27</v>
      </c>
      <c r="C185" s="8">
        <v>1</v>
      </c>
      <c r="D185" s="8">
        <v>24.5</v>
      </c>
      <c r="E185" s="8">
        <v>18.9591748</v>
      </c>
      <c r="F185" s="8">
        <v>17</v>
      </c>
      <c r="G185" s="8">
        <v>35</v>
      </c>
      <c r="H185" s="8">
        <v>25</v>
      </c>
      <c r="I185" s="8">
        <v>5.5408252000000005</v>
      </c>
    </row>
    <row r="186" spans="1:9" x14ac:dyDescent="0.25">
      <c r="A186" s="8">
        <v>3212</v>
      </c>
      <c r="B186" s="8" t="s">
        <v>27</v>
      </c>
      <c r="C186" s="8">
        <v>1</v>
      </c>
      <c r="D186" s="8">
        <v>21.5</v>
      </c>
      <c r="E186" s="8">
        <v>18.9664684</v>
      </c>
      <c r="F186" s="8">
        <v>16</v>
      </c>
      <c r="G186" s="8">
        <v>41</v>
      </c>
      <c r="H186" s="8">
        <v>31</v>
      </c>
      <c r="I186" s="8">
        <v>2.5335315999999999</v>
      </c>
    </row>
    <row r="187" spans="1:9" x14ac:dyDescent="0.25">
      <c r="A187" s="8">
        <v>3557</v>
      </c>
      <c r="B187" s="8" t="s">
        <v>27</v>
      </c>
      <c r="C187" s="8">
        <v>1</v>
      </c>
      <c r="D187" s="8">
        <v>24.5</v>
      </c>
      <c r="E187" s="8">
        <v>18.981055600000001</v>
      </c>
      <c r="F187" s="8">
        <v>15.5</v>
      </c>
      <c r="G187" s="8">
        <v>41</v>
      </c>
      <c r="H187" s="8">
        <v>31</v>
      </c>
      <c r="I187" s="8">
        <v>5.5189443999999988</v>
      </c>
    </row>
    <row r="188" spans="1:9" x14ac:dyDescent="0.25">
      <c r="A188" s="8">
        <v>3521</v>
      </c>
      <c r="B188" s="8" t="s">
        <v>27</v>
      </c>
      <c r="C188" s="8">
        <v>1</v>
      </c>
      <c r="D188" s="8">
        <v>23.5</v>
      </c>
      <c r="E188" s="8">
        <v>18.993819399999996</v>
      </c>
      <c r="F188" s="8">
        <v>14</v>
      </c>
      <c r="G188" s="8">
        <v>43</v>
      </c>
      <c r="H188" s="8">
        <v>33</v>
      </c>
      <c r="I188" s="8">
        <v>4.506180600000004</v>
      </c>
    </row>
    <row r="189" spans="1:9" x14ac:dyDescent="0.25">
      <c r="A189" s="8">
        <v>3120</v>
      </c>
      <c r="B189" s="8" t="s">
        <v>27</v>
      </c>
      <c r="C189" s="8">
        <v>1</v>
      </c>
      <c r="D189" s="8">
        <v>21</v>
      </c>
      <c r="E189" s="8">
        <v>19.052168200000001</v>
      </c>
      <c r="F189" s="8">
        <v>13</v>
      </c>
      <c r="G189" s="8">
        <v>34</v>
      </c>
      <c r="H189" s="8">
        <v>24</v>
      </c>
      <c r="I189" s="8">
        <v>1.9478317999999994</v>
      </c>
    </row>
    <row r="190" spans="1:9" x14ac:dyDescent="0.25">
      <c r="A190" s="8">
        <v>3103</v>
      </c>
      <c r="B190" s="8" t="s">
        <v>27</v>
      </c>
      <c r="C190" s="8">
        <v>1</v>
      </c>
      <c r="D190" s="8">
        <v>19.5</v>
      </c>
      <c r="E190" s="8">
        <v>19.0539916</v>
      </c>
      <c r="F190" s="8">
        <v>15.5</v>
      </c>
      <c r="G190" s="8">
        <v>40</v>
      </c>
      <c r="H190" s="8">
        <v>30</v>
      </c>
      <c r="I190" s="8">
        <v>0.44600840000000019</v>
      </c>
    </row>
    <row r="191" spans="1:9" x14ac:dyDescent="0.25">
      <c r="A191" s="8">
        <v>3144</v>
      </c>
      <c r="B191" s="8" t="s">
        <v>27</v>
      </c>
      <c r="C191" s="8">
        <v>1</v>
      </c>
      <c r="D191" s="8">
        <v>22.5</v>
      </c>
      <c r="E191" s="8">
        <v>19.081342599999999</v>
      </c>
      <c r="F191" s="8">
        <v>16.5</v>
      </c>
      <c r="G191" s="8">
        <v>41</v>
      </c>
      <c r="H191" s="8">
        <v>31</v>
      </c>
      <c r="I191" s="8">
        <v>3.4186574000000007</v>
      </c>
    </row>
    <row r="192" spans="1:9" x14ac:dyDescent="0.25">
      <c r="A192" s="8">
        <v>3684</v>
      </c>
      <c r="B192" s="8" t="s">
        <v>27</v>
      </c>
      <c r="C192" s="8">
        <v>1</v>
      </c>
      <c r="D192" s="8">
        <v>25</v>
      </c>
      <c r="E192" s="8">
        <v>19.094106400000001</v>
      </c>
      <c r="F192" s="8">
        <v>13.5</v>
      </c>
      <c r="G192" s="8">
        <v>37</v>
      </c>
      <c r="H192" s="8">
        <v>27</v>
      </c>
      <c r="I192" s="8">
        <v>5.9058935999999989</v>
      </c>
    </row>
    <row r="193" spans="1:9" x14ac:dyDescent="0.25">
      <c r="A193" s="8">
        <v>3473</v>
      </c>
      <c r="B193" s="8" t="s">
        <v>27</v>
      </c>
      <c r="C193" s="8">
        <v>1</v>
      </c>
      <c r="D193" s="8">
        <v>22</v>
      </c>
      <c r="E193" s="8">
        <v>19.183453</v>
      </c>
      <c r="F193" s="8">
        <v>12.5</v>
      </c>
      <c r="G193" s="8">
        <v>32</v>
      </c>
      <c r="H193" s="8">
        <v>22</v>
      </c>
      <c r="I193" s="8">
        <v>2.8165469999999999</v>
      </c>
    </row>
    <row r="194" spans="1:9" x14ac:dyDescent="0.25">
      <c r="A194" s="8">
        <v>3448</v>
      </c>
      <c r="B194" s="8" t="s">
        <v>27</v>
      </c>
      <c r="C194" s="8">
        <v>1</v>
      </c>
      <c r="D194" s="8">
        <v>25</v>
      </c>
      <c r="E194" s="8">
        <v>19.243625199999997</v>
      </c>
      <c r="F194" s="8">
        <v>16</v>
      </c>
      <c r="G194" s="8">
        <v>37</v>
      </c>
      <c r="H194" s="8">
        <v>27</v>
      </c>
      <c r="I194" s="8">
        <v>5.7563748000000032</v>
      </c>
    </row>
    <row r="195" spans="1:9" x14ac:dyDescent="0.25">
      <c r="A195" s="8">
        <v>3339</v>
      </c>
      <c r="B195" s="8" t="s">
        <v>27</v>
      </c>
      <c r="C195" s="8">
        <v>1</v>
      </c>
      <c r="D195" s="8">
        <v>23.5</v>
      </c>
      <c r="E195" s="8">
        <v>19.316561199999999</v>
      </c>
      <c r="F195" s="8">
        <v>16</v>
      </c>
      <c r="G195" s="8">
        <v>39</v>
      </c>
      <c r="H195" s="8">
        <v>29</v>
      </c>
      <c r="I195" s="8">
        <v>4.1834388000000011</v>
      </c>
    </row>
    <row r="196" spans="1:9" x14ac:dyDescent="0.25">
      <c r="A196" s="8">
        <v>3270</v>
      </c>
      <c r="B196" s="8" t="s">
        <v>27</v>
      </c>
      <c r="C196" s="8">
        <v>1</v>
      </c>
      <c r="D196" s="8">
        <v>24</v>
      </c>
      <c r="E196" s="8">
        <v>19.316561199999999</v>
      </c>
      <c r="F196" s="8">
        <v>15.5</v>
      </c>
      <c r="G196" s="8">
        <v>41</v>
      </c>
      <c r="H196" s="8">
        <v>31</v>
      </c>
      <c r="I196" s="8">
        <v>4.6834388000000011</v>
      </c>
    </row>
    <row r="197" spans="1:9" x14ac:dyDescent="0.25">
      <c r="A197" s="8">
        <v>6805</v>
      </c>
      <c r="B197" s="8" t="s">
        <v>27</v>
      </c>
      <c r="C197" s="8">
        <v>1</v>
      </c>
      <c r="D197" s="8">
        <v>20.5</v>
      </c>
      <c r="E197" s="8">
        <v>19.354852599999997</v>
      </c>
      <c r="F197" s="8">
        <v>15.5</v>
      </c>
      <c r="G197" s="8">
        <v>37</v>
      </c>
      <c r="H197" s="8">
        <v>27</v>
      </c>
      <c r="I197" s="8">
        <v>1.1451474000000026</v>
      </c>
    </row>
    <row r="198" spans="1:9" x14ac:dyDescent="0.25">
      <c r="A198" s="8">
        <v>3395</v>
      </c>
      <c r="B198" s="8" t="s">
        <v>27</v>
      </c>
      <c r="C198" s="8">
        <v>1</v>
      </c>
      <c r="D198" s="8">
        <v>21</v>
      </c>
      <c r="E198" s="8">
        <v>19.473373600000002</v>
      </c>
      <c r="F198" s="8">
        <v>15.529142706151244</v>
      </c>
      <c r="G198" s="8">
        <v>38</v>
      </c>
      <c r="H198" s="8">
        <v>28</v>
      </c>
      <c r="I198" s="8">
        <v>1.5266263999999978</v>
      </c>
    </row>
    <row r="199" spans="1:9" x14ac:dyDescent="0.25">
      <c r="A199" s="8">
        <v>3129</v>
      </c>
      <c r="B199" s="8" t="s">
        <v>27</v>
      </c>
      <c r="C199" s="8">
        <v>1</v>
      </c>
      <c r="D199" s="8">
        <v>29</v>
      </c>
      <c r="E199" s="8">
        <v>19.489784200000003</v>
      </c>
      <c r="F199" s="8">
        <v>17</v>
      </c>
      <c r="G199" s="8">
        <v>31</v>
      </c>
      <c r="H199" s="8">
        <v>21</v>
      </c>
      <c r="I199" s="8">
        <v>9.5102157999999974</v>
      </c>
    </row>
    <row r="200" spans="1:9" x14ac:dyDescent="0.25">
      <c r="A200" s="8">
        <v>3555</v>
      </c>
      <c r="B200" s="8" t="s">
        <v>27</v>
      </c>
      <c r="C200" s="8">
        <v>1</v>
      </c>
      <c r="D200" s="8">
        <v>22.5</v>
      </c>
      <c r="E200" s="8">
        <v>19.5226054</v>
      </c>
      <c r="F200" s="8">
        <v>14.5</v>
      </c>
      <c r="G200" s="8">
        <v>35</v>
      </c>
      <c r="H200" s="8">
        <v>25</v>
      </c>
      <c r="I200" s="8">
        <v>2.9773946000000002</v>
      </c>
    </row>
    <row r="201" spans="1:9" x14ac:dyDescent="0.25">
      <c r="A201" s="8">
        <v>3609</v>
      </c>
      <c r="B201" s="8" t="s">
        <v>27</v>
      </c>
      <c r="C201" s="8">
        <v>1</v>
      </c>
      <c r="D201" s="8">
        <v>19.5</v>
      </c>
      <c r="E201" s="8">
        <v>19.621068999999999</v>
      </c>
      <c r="F201" s="8">
        <v>15.5</v>
      </c>
      <c r="G201" s="8">
        <v>38</v>
      </c>
      <c r="H201" s="8">
        <v>28</v>
      </c>
      <c r="I201" s="8">
        <v>-0.12106899999999854</v>
      </c>
    </row>
    <row r="202" spans="1:9" x14ac:dyDescent="0.25">
      <c r="A202" s="8">
        <v>3203</v>
      </c>
      <c r="B202" s="8" t="s">
        <v>27</v>
      </c>
      <c r="C202" s="8">
        <v>1</v>
      </c>
      <c r="D202" s="8">
        <v>23.5</v>
      </c>
      <c r="E202" s="8">
        <v>19.7049454</v>
      </c>
      <c r="F202" s="8">
        <v>13</v>
      </c>
      <c r="G202" s="8">
        <v>38</v>
      </c>
      <c r="H202" s="8">
        <v>28</v>
      </c>
      <c r="I202" s="8">
        <v>3.7950546000000003</v>
      </c>
    </row>
    <row r="203" spans="1:9" x14ac:dyDescent="0.25">
      <c r="A203" s="8">
        <v>3619</v>
      </c>
      <c r="B203" s="8" t="s">
        <v>27</v>
      </c>
      <c r="C203" s="8">
        <v>1</v>
      </c>
      <c r="D203" s="8">
        <v>23.5</v>
      </c>
      <c r="E203" s="8">
        <v>19.7651176</v>
      </c>
      <c r="F203" s="8">
        <v>15.5</v>
      </c>
      <c r="G203" s="8">
        <v>40</v>
      </c>
      <c r="H203" s="8">
        <v>30</v>
      </c>
      <c r="I203" s="8">
        <v>3.7348824</v>
      </c>
    </row>
    <row r="204" spans="1:9" x14ac:dyDescent="0.25">
      <c r="A204" s="8">
        <v>3241</v>
      </c>
      <c r="B204" s="8" t="s">
        <v>27</v>
      </c>
      <c r="C204" s="8">
        <v>1</v>
      </c>
      <c r="D204" s="8">
        <v>24.5</v>
      </c>
      <c r="E204" s="8">
        <v>19.766940999999999</v>
      </c>
      <c r="F204" s="8">
        <v>15.5</v>
      </c>
      <c r="G204" s="8">
        <v>32</v>
      </c>
      <c r="H204" s="8">
        <v>22</v>
      </c>
      <c r="I204" s="8">
        <v>4.7330590000000008</v>
      </c>
    </row>
    <row r="205" spans="1:9" x14ac:dyDescent="0.25">
      <c r="A205" s="8">
        <v>3582</v>
      </c>
      <c r="B205" s="8" t="s">
        <v>27</v>
      </c>
      <c r="C205" s="8">
        <v>1</v>
      </c>
      <c r="D205" s="8">
        <v>33.5</v>
      </c>
      <c r="E205" s="8">
        <v>19.823466400000001</v>
      </c>
      <c r="F205" s="8">
        <v>12.5</v>
      </c>
      <c r="G205" s="8">
        <v>32</v>
      </c>
      <c r="H205" s="8">
        <v>22</v>
      </c>
      <c r="I205" s="8">
        <v>13.676533599999999</v>
      </c>
    </row>
    <row r="206" spans="1:9" x14ac:dyDescent="0.25">
      <c r="A206" s="8">
        <v>3309</v>
      </c>
      <c r="B206" s="8" t="s">
        <v>27</v>
      </c>
      <c r="C206" s="8">
        <v>1</v>
      </c>
      <c r="D206" s="8">
        <v>23.5</v>
      </c>
      <c r="E206" s="8">
        <v>19.845347199999999</v>
      </c>
      <c r="F206" s="8">
        <v>16</v>
      </c>
      <c r="G206" s="8">
        <v>39</v>
      </c>
      <c r="H206" s="8">
        <v>29</v>
      </c>
      <c r="I206" s="8">
        <v>3.6546528000000009</v>
      </c>
    </row>
    <row r="207" spans="1:9" x14ac:dyDescent="0.25">
      <c r="A207" s="8">
        <v>3067</v>
      </c>
      <c r="B207" s="8" t="s">
        <v>27</v>
      </c>
      <c r="C207" s="8">
        <v>1</v>
      </c>
      <c r="D207" s="8">
        <v>21</v>
      </c>
      <c r="E207" s="8">
        <v>19.852640799999996</v>
      </c>
      <c r="F207" s="8">
        <v>15.5</v>
      </c>
      <c r="G207" s="8">
        <v>38</v>
      </c>
      <c r="H207" s="8">
        <v>28</v>
      </c>
      <c r="I207" s="8">
        <v>1.1473592000000039</v>
      </c>
    </row>
    <row r="208" spans="1:9" x14ac:dyDescent="0.25">
      <c r="A208" s="8">
        <v>3304</v>
      </c>
      <c r="B208" s="8" t="s">
        <v>27</v>
      </c>
      <c r="C208" s="8">
        <v>1</v>
      </c>
      <c r="D208" s="8">
        <v>26</v>
      </c>
      <c r="E208" s="8">
        <v>19.874521599999998</v>
      </c>
      <c r="F208" s="8">
        <v>17</v>
      </c>
      <c r="G208" s="8">
        <v>35</v>
      </c>
      <c r="H208" s="8">
        <v>25</v>
      </c>
      <c r="I208" s="8">
        <v>6.1254784000000022</v>
      </c>
    </row>
    <row r="209" spans="1:9" x14ac:dyDescent="0.25">
      <c r="A209" s="8">
        <v>3007</v>
      </c>
      <c r="B209" s="8" t="s">
        <v>27</v>
      </c>
      <c r="C209" s="8">
        <v>1</v>
      </c>
      <c r="D209" s="8">
        <v>24</v>
      </c>
      <c r="E209" s="8">
        <v>19.901872600000001</v>
      </c>
      <c r="F209" s="8">
        <v>16</v>
      </c>
      <c r="G209" s="8">
        <v>27</v>
      </c>
      <c r="H209" s="8">
        <v>17</v>
      </c>
      <c r="I209" s="8">
        <v>4.0981273999999992</v>
      </c>
    </row>
    <row r="210" spans="1:9" x14ac:dyDescent="0.25">
      <c r="A210" s="8">
        <v>3413</v>
      </c>
      <c r="B210" s="8" t="s">
        <v>27</v>
      </c>
      <c r="C210" s="8">
        <v>1</v>
      </c>
      <c r="D210" s="8">
        <v>23</v>
      </c>
      <c r="E210" s="8">
        <v>19.918283200000001</v>
      </c>
      <c r="F210" s="8">
        <v>16.5</v>
      </c>
      <c r="G210" s="8">
        <v>44</v>
      </c>
      <c r="H210" s="8">
        <v>34</v>
      </c>
      <c r="I210" s="8">
        <v>3.0817167999999988</v>
      </c>
    </row>
    <row r="211" spans="1:9" x14ac:dyDescent="0.25">
      <c r="A211" s="8">
        <v>3337</v>
      </c>
      <c r="B211" s="8" t="s">
        <v>27</v>
      </c>
      <c r="C211" s="8">
        <v>1</v>
      </c>
      <c r="D211" s="8">
        <v>20.5</v>
      </c>
      <c r="E211" s="8">
        <v>19.994865999999998</v>
      </c>
      <c r="F211" s="8">
        <v>16.5</v>
      </c>
      <c r="G211" s="8">
        <v>38</v>
      </c>
      <c r="H211" s="8">
        <v>28</v>
      </c>
      <c r="I211" s="8">
        <v>0.50513400000000175</v>
      </c>
    </row>
    <row r="212" spans="1:9" x14ac:dyDescent="0.25">
      <c r="A212" s="8">
        <v>3520</v>
      </c>
      <c r="B212" s="8" t="s">
        <v>27</v>
      </c>
      <c r="C212" s="8">
        <v>1</v>
      </c>
      <c r="D212" s="8">
        <v>25.5</v>
      </c>
      <c r="E212" s="8">
        <v>20.095153</v>
      </c>
      <c r="F212" s="8">
        <v>16</v>
      </c>
      <c r="G212" s="8">
        <v>31</v>
      </c>
      <c r="H212" s="8">
        <v>21</v>
      </c>
      <c r="I212" s="8">
        <v>5.4048470000000002</v>
      </c>
    </row>
    <row r="213" spans="1:9" x14ac:dyDescent="0.25">
      <c r="A213" s="8">
        <v>3461</v>
      </c>
      <c r="B213" s="8" t="s">
        <v>27</v>
      </c>
      <c r="C213" s="8">
        <v>1</v>
      </c>
      <c r="D213" s="8">
        <v>23.5</v>
      </c>
      <c r="E213" s="8">
        <v>20.102446599999997</v>
      </c>
      <c r="F213" s="8">
        <v>10.5</v>
      </c>
      <c r="G213" s="8">
        <v>37</v>
      </c>
      <c r="H213" s="8">
        <v>27</v>
      </c>
      <c r="I213" s="8">
        <v>3.3975534000000032</v>
      </c>
    </row>
    <row r="214" spans="1:9" x14ac:dyDescent="0.25">
      <c r="A214" s="8">
        <v>3243</v>
      </c>
      <c r="B214" s="8" t="s">
        <v>27</v>
      </c>
      <c r="C214" s="8">
        <v>1</v>
      </c>
      <c r="D214" s="8">
        <v>25</v>
      </c>
      <c r="E214" s="8">
        <v>20.1115636</v>
      </c>
      <c r="F214" s="8">
        <v>18</v>
      </c>
      <c r="G214" s="8">
        <v>37</v>
      </c>
      <c r="H214" s="8">
        <v>27</v>
      </c>
      <c r="I214" s="8">
        <v>4.8884363999999998</v>
      </c>
    </row>
    <row r="215" spans="1:9" x14ac:dyDescent="0.25">
      <c r="A215" s="8">
        <v>3247</v>
      </c>
      <c r="B215" s="8" t="s">
        <v>27</v>
      </c>
      <c r="C215" s="8">
        <v>1</v>
      </c>
      <c r="D215" s="8">
        <v>25</v>
      </c>
      <c r="E215" s="8">
        <v>20.246495199999998</v>
      </c>
      <c r="F215" s="8">
        <v>13</v>
      </c>
      <c r="G215" s="8">
        <v>32</v>
      </c>
      <c r="H215" s="8">
        <v>22</v>
      </c>
      <c r="I215" s="8">
        <v>4.7535048000000018</v>
      </c>
    </row>
    <row r="216" spans="1:9" x14ac:dyDescent="0.25">
      <c r="A216" s="8">
        <v>3482</v>
      </c>
      <c r="B216" s="8" t="s">
        <v>27</v>
      </c>
      <c r="C216" s="8">
        <v>1</v>
      </c>
      <c r="D216" s="8">
        <v>24</v>
      </c>
      <c r="E216" s="8">
        <v>20.306667399999998</v>
      </c>
      <c r="F216" s="8">
        <v>13.5</v>
      </c>
      <c r="G216" s="8">
        <v>38</v>
      </c>
      <c r="H216" s="8">
        <v>28</v>
      </c>
      <c r="I216" s="8">
        <v>3.6933326000000015</v>
      </c>
    </row>
    <row r="217" spans="1:9" x14ac:dyDescent="0.25">
      <c r="A217" s="8">
        <v>3148</v>
      </c>
      <c r="B217" s="8" t="s">
        <v>27</v>
      </c>
      <c r="C217" s="8">
        <v>1</v>
      </c>
      <c r="D217" s="8">
        <v>25</v>
      </c>
      <c r="E217" s="8">
        <v>20.350429000000002</v>
      </c>
      <c r="F217" s="8">
        <v>16.5</v>
      </c>
      <c r="G217" s="8">
        <v>36</v>
      </c>
      <c r="H217" s="8">
        <v>26</v>
      </c>
      <c r="I217" s="8">
        <v>4.6495709999999981</v>
      </c>
    </row>
    <row r="218" spans="1:9" x14ac:dyDescent="0.25">
      <c r="A218" s="8">
        <v>3592</v>
      </c>
      <c r="B218" s="8" t="s">
        <v>27</v>
      </c>
      <c r="C218" s="8">
        <v>1</v>
      </c>
      <c r="D218" s="8">
        <v>28.5</v>
      </c>
      <c r="E218" s="8">
        <v>20.394190599999998</v>
      </c>
      <c r="F218" s="8">
        <v>15.5</v>
      </c>
      <c r="G218" s="8">
        <v>41</v>
      </c>
      <c r="H218" s="8">
        <v>31</v>
      </c>
      <c r="I218" s="8">
        <v>8.1058094000000018</v>
      </c>
    </row>
    <row r="219" spans="1:9" x14ac:dyDescent="0.25">
      <c r="A219" s="8">
        <v>3540</v>
      </c>
      <c r="B219" s="8" t="s">
        <v>27</v>
      </c>
      <c r="C219" s="8">
        <v>1</v>
      </c>
      <c r="D219" s="8">
        <v>24.5</v>
      </c>
      <c r="E219" s="8">
        <v>20.423365</v>
      </c>
      <c r="F219" s="8">
        <v>13</v>
      </c>
      <c r="G219" s="8">
        <v>41</v>
      </c>
      <c r="H219" s="8">
        <v>31</v>
      </c>
      <c r="I219" s="8">
        <v>4.0766349999999996</v>
      </c>
    </row>
    <row r="220" spans="1:9" x14ac:dyDescent="0.25">
      <c r="A220" s="8">
        <v>3371</v>
      </c>
      <c r="B220" s="8" t="s">
        <v>27</v>
      </c>
      <c r="C220" s="8">
        <v>1</v>
      </c>
      <c r="D220" s="8">
        <v>25.5</v>
      </c>
      <c r="E220" s="8">
        <v>20.489007399999998</v>
      </c>
      <c r="F220" s="8">
        <v>13</v>
      </c>
      <c r="G220" s="8">
        <v>34</v>
      </c>
      <c r="H220" s="8">
        <v>24</v>
      </c>
      <c r="I220" s="8">
        <v>5.0109926000000016</v>
      </c>
    </row>
    <row r="221" spans="1:9" x14ac:dyDescent="0.25">
      <c r="A221" s="8">
        <v>3444</v>
      </c>
      <c r="B221" s="8" t="s">
        <v>27</v>
      </c>
      <c r="C221" s="8">
        <v>1</v>
      </c>
      <c r="D221" s="8">
        <v>24</v>
      </c>
      <c r="E221" s="8">
        <v>20.490830800000001</v>
      </c>
      <c r="F221" s="8">
        <v>17</v>
      </c>
      <c r="G221" s="8">
        <v>36</v>
      </c>
      <c r="H221" s="8">
        <v>26</v>
      </c>
      <c r="I221" s="8">
        <v>3.5091691999999988</v>
      </c>
    </row>
    <row r="222" spans="1:9" x14ac:dyDescent="0.25">
      <c r="A222" s="8">
        <v>3018</v>
      </c>
      <c r="B222" s="8" t="s">
        <v>27</v>
      </c>
      <c r="C222" s="8">
        <v>1</v>
      </c>
      <c r="D222" s="8">
        <v>23.5</v>
      </c>
      <c r="E222" s="8">
        <v>20.565590200000003</v>
      </c>
      <c r="F222" s="8">
        <v>11.5</v>
      </c>
      <c r="G222" s="8">
        <v>43</v>
      </c>
      <c r="H222" s="8">
        <v>33</v>
      </c>
      <c r="I222" s="8">
        <v>2.9344097999999974</v>
      </c>
    </row>
    <row r="223" spans="1:9" x14ac:dyDescent="0.25">
      <c r="A223" s="8">
        <v>3222</v>
      </c>
      <c r="B223" s="8" t="s">
        <v>27</v>
      </c>
      <c r="C223" s="8">
        <v>1</v>
      </c>
      <c r="D223" s="8">
        <v>26.5</v>
      </c>
      <c r="E223" s="8">
        <v>20.5710604</v>
      </c>
      <c r="F223" s="8">
        <v>13.5</v>
      </c>
      <c r="G223" s="8">
        <v>37</v>
      </c>
      <c r="H223" s="8">
        <v>27</v>
      </c>
      <c r="I223" s="8">
        <v>5.9289395999999996</v>
      </c>
    </row>
    <row r="224" spans="1:9" x14ac:dyDescent="0.25">
      <c r="A224" s="8">
        <v>3317</v>
      </c>
      <c r="B224" s="8" t="s">
        <v>27</v>
      </c>
      <c r="C224" s="8">
        <v>1</v>
      </c>
      <c r="D224" s="8">
        <v>22.5</v>
      </c>
      <c r="E224" s="8">
        <v>20.631232600000001</v>
      </c>
      <c r="F224" s="8">
        <v>13.5</v>
      </c>
      <c r="G224" s="8">
        <v>36</v>
      </c>
      <c r="H224" s="8">
        <v>26</v>
      </c>
      <c r="I224" s="8">
        <v>1.8687673999999994</v>
      </c>
    </row>
    <row r="225" spans="1:9" x14ac:dyDescent="0.25">
      <c r="A225" s="8">
        <v>3310</v>
      </c>
      <c r="B225" s="8" t="s">
        <v>27</v>
      </c>
      <c r="C225" s="8">
        <v>1</v>
      </c>
      <c r="D225" s="8">
        <v>22</v>
      </c>
      <c r="E225" s="8">
        <v>20.669523999999999</v>
      </c>
      <c r="F225" s="8">
        <v>14</v>
      </c>
      <c r="G225" s="8">
        <v>32</v>
      </c>
      <c r="H225" s="8">
        <v>22</v>
      </c>
      <c r="I225" s="8">
        <v>1.3304760000000009</v>
      </c>
    </row>
    <row r="226" spans="1:9" x14ac:dyDescent="0.25">
      <c r="A226" s="8">
        <v>3614</v>
      </c>
      <c r="B226" s="8" t="s">
        <v>27</v>
      </c>
      <c r="C226" s="8">
        <v>1</v>
      </c>
      <c r="D226" s="8">
        <v>21</v>
      </c>
      <c r="E226" s="8">
        <v>20.795338600000001</v>
      </c>
      <c r="F226" s="8">
        <v>14.5</v>
      </c>
      <c r="G226" s="8">
        <v>41</v>
      </c>
      <c r="H226" s="8">
        <v>31</v>
      </c>
      <c r="I226" s="8">
        <v>0.20466139999999911</v>
      </c>
    </row>
    <row r="227" spans="1:9" x14ac:dyDescent="0.25">
      <c r="A227" s="8">
        <v>3285</v>
      </c>
      <c r="B227" s="8" t="s">
        <v>27</v>
      </c>
      <c r="C227" s="8">
        <v>1</v>
      </c>
      <c r="D227" s="8">
        <v>23</v>
      </c>
      <c r="E227" s="8">
        <v>20.802632199999998</v>
      </c>
      <c r="F227" s="8">
        <v>15</v>
      </c>
      <c r="G227" s="8">
        <v>34</v>
      </c>
      <c r="H227" s="8">
        <v>24</v>
      </c>
      <c r="I227" s="8">
        <v>2.1973678000000021</v>
      </c>
    </row>
    <row r="228" spans="1:9" x14ac:dyDescent="0.25">
      <c r="A228" s="8">
        <v>3136</v>
      </c>
      <c r="B228" s="8" t="s">
        <v>27</v>
      </c>
      <c r="C228" s="8">
        <v>1</v>
      </c>
      <c r="D228" s="8">
        <v>26</v>
      </c>
      <c r="E228" s="8">
        <v>20.844570399999999</v>
      </c>
      <c r="F228" s="8">
        <v>16</v>
      </c>
      <c r="G228" s="8">
        <v>36</v>
      </c>
      <c r="H228" s="8">
        <v>26</v>
      </c>
      <c r="I228" s="8">
        <v>5.1554296000000015</v>
      </c>
    </row>
    <row r="229" spans="1:9" x14ac:dyDescent="0.25">
      <c r="A229" s="8">
        <v>3526</v>
      </c>
      <c r="B229" s="8" t="s">
        <v>27</v>
      </c>
      <c r="C229" s="8">
        <v>1</v>
      </c>
      <c r="D229" s="8">
        <v>27.5</v>
      </c>
      <c r="E229" s="8">
        <v>20.860980999999999</v>
      </c>
      <c r="F229" s="8">
        <v>15</v>
      </c>
      <c r="G229" s="8">
        <v>39</v>
      </c>
      <c r="H229" s="8">
        <v>29</v>
      </c>
      <c r="I229" s="8">
        <v>6.6390190000000011</v>
      </c>
    </row>
    <row r="230" spans="1:9" x14ac:dyDescent="0.25">
      <c r="A230" s="8">
        <v>3380</v>
      </c>
      <c r="B230" s="8" t="s">
        <v>27</v>
      </c>
      <c r="C230" s="8">
        <v>1</v>
      </c>
      <c r="D230" s="8">
        <v>25</v>
      </c>
      <c r="E230" s="8">
        <v>20.873744799999997</v>
      </c>
      <c r="F230" s="8">
        <v>8</v>
      </c>
      <c r="G230" s="8">
        <v>37</v>
      </c>
      <c r="H230" s="8">
        <v>27</v>
      </c>
      <c r="I230" s="8">
        <v>4.1262552000000028</v>
      </c>
    </row>
    <row r="231" spans="1:9" x14ac:dyDescent="0.25">
      <c r="A231" s="8">
        <v>3596</v>
      </c>
      <c r="B231" s="8" t="s">
        <v>27</v>
      </c>
      <c r="C231" s="8">
        <v>1</v>
      </c>
      <c r="D231" s="8">
        <v>23</v>
      </c>
      <c r="E231" s="8">
        <v>20.9539744</v>
      </c>
      <c r="F231" s="8">
        <v>14</v>
      </c>
      <c r="G231" s="8">
        <v>42</v>
      </c>
      <c r="H231" s="8">
        <v>32</v>
      </c>
      <c r="I231" s="8">
        <v>2.0460256000000001</v>
      </c>
    </row>
    <row r="232" spans="1:9" x14ac:dyDescent="0.25">
      <c r="A232" s="8">
        <v>3145</v>
      </c>
      <c r="B232" s="8" t="s">
        <v>27</v>
      </c>
      <c r="C232" s="8">
        <v>1</v>
      </c>
      <c r="D232" s="8">
        <v>23.5</v>
      </c>
      <c r="E232" s="8">
        <v>20.961267999999997</v>
      </c>
      <c r="F232" s="8">
        <v>16.5</v>
      </c>
      <c r="G232" s="8">
        <v>38</v>
      </c>
      <c r="H232" s="8">
        <v>28</v>
      </c>
      <c r="I232" s="8">
        <v>2.5387320000000031</v>
      </c>
    </row>
    <row r="233" spans="1:9" x14ac:dyDescent="0.25">
      <c r="A233" s="8">
        <v>3149</v>
      </c>
      <c r="B233" s="8" t="s">
        <v>27</v>
      </c>
      <c r="C233" s="8">
        <v>1</v>
      </c>
      <c r="D233" s="8">
        <v>22.5</v>
      </c>
      <c r="E233" s="8">
        <v>20.990442399999999</v>
      </c>
      <c r="F233" s="8">
        <v>18</v>
      </c>
      <c r="G233" s="8">
        <v>35</v>
      </c>
      <c r="H233" s="8">
        <v>25</v>
      </c>
      <c r="I233" s="8">
        <v>1.5095576000000008</v>
      </c>
    </row>
    <row r="234" spans="1:9" x14ac:dyDescent="0.25">
      <c r="A234" s="8">
        <v>3022</v>
      </c>
      <c r="B234" s="8" t="s">
        <v>27</v>
      </c>
      <c r="C234" s="8">
        <v>1</v>
      </c>
      <c r="D234" s="8">
        <v>23</v>
      </c>
      <c r="E234" s="8">
        <v>21.017793399999999</v>
      </c>
      <c r="F234" s="8">
        <v>14</v>
      </c>
      <c r="G234" s="8">
        <v>33</v>
      </c>
      <c r="H234" s="8">
        <v>23</v>
      </c>
      <c r="I234" s="8">
        <v>1.9822066000000014</v>
      </c>
    </row>
    <row r="235" spans="1:9" x14ac:dyDescent="0.25">
      <c r="A235" s="8">
        <v>3246</v>
      </c>
      <c r="B235" s="8" t="s">
        <v>27</v>
      </c>
      <c r="C235" s="8">
        <v>1</v>
      </c>
      <c r="D235" s="8">
        <v>22</v>
      </c>
      <c r="E235" s="8">
        <v>21.043320999999999</v>
      </c>
      <c r="F235" s="8">
        <v>12</v>
      </c>
      <c r="G235" s="8">
        <v>39</v>
      </c>
      <c r="H235" s="8">
        <v>29</v>
      </c>
      <c r="I235" s="8">
        <v>0.95667900000000117</v>
      </c>
    </row>
    <row r="236" spans="1:9" x14ac:dyDescent="0.25">
      <c r="A236" s="8">
        <v>3414</v>
      </c>
      <c r="B236" s="8" t="s">
        <v>27</v>
      </c>
      <c r="C236" s="8">
        <v>1</v>
      </c>
      <c r="D236" s="8">
        <v>21</v>
      </c>
      <c r="E236" s="8">
        <v>21.045144400000002</v>
      </c>
      <c r="F236" s="8">
        <v>17.5</v>
      </c>
      <c r="G236" s="8">
        <v>43</v>
      </c>
      <c r="H236" s="8">
        <v>33</v>
      </c>
      <c r="I236" s="8">
        <v>-4.5144400000001639E-2</v>
      </c>
    </row>
    <row r="237" spans="1:9" x14ac:dyDescent="0.25">
      <c r="A237" s="8">
        <v>3476</v>
      </c>
      <c r="B237" s="8" t="s">
        <v>27</v>
      </c>
      <c r="C237" s="8">
        <v>1</v>
      </c>
      <c r="D237" s="8">
        <v>22</v>
      </c>
      <c r="E237" s="8">
        <v>21.081612400000001</v>
      </c>
      <c r="F237" s="8">
        <v>14.5</v>
      </c>
      <c r="G237" s="8">
        <v>38</v>
      </c>
      <c r="H237" s="8">
        <v>28</v>
      </c>
      <c r="I237" s="8">
        <v>0.91838759999999908</v>
      </c>
    </row>
    <row r="238" spans="1:9" x14ac:dyDescent="0.25">
      <c r="A238" s="8">
        <v>3085</v>
      </c>
      <c r="B238" s="8" t="s">
        <v>27</v>
      </c>
      <c r="C238" s="8">
        <v>1</v>
      </c>
      <c r="D238" s="8">
        <v>23</v>
      </c>
      <c r="E238" s="8">
        <v>21.123550599999998</v>
      </c>
      <c r="F238" s="8">
        <v>15.5</v>
      </c>
      <c r="G238" s="8">
        <v>33</v>
      </c>
      <c r="H238" s="8">
        <v>23</v>
      </c>
      <c r="I238" s="8">
        <v>1.876449400000002</v>
      </c>
    </row>
    <row r="239" spans="1:9" x14ac:dyDescent="0.25">
      <c r="A239" s="8">
        <v>3360</v>
      </c>
      <c r="B239" s="8" t="s">
        <v>27</v>
      </c>
      <c r="C239" s="8">
        <v>1</v>
      </c>
      <c r="D239" s="8">
        <v>21</v>
      </c>
      <c r="E239" s="8">
        <v>21.154548399999999</v>
      </c>
      <c r="F239" s="8">
        <v>11</v>
      </c>
      <c r="G239" s="8">
        <v>35</v>
      </c>
      <c r="H239" s="8">
        <v>25</v>
      </c>
      <c r="I239" s="8">
        <v>-0.15454839999999948</v>
      </c>
    </row>
    <row r="240" spans="1:9" x14ac:dyDescent="0.25">
      <c r="A240" s="8">
        <v>3605</v>
      </c>
      <c r="B240" s="8" t="s">
        <v>27</v>
      </c>
      <c r="C240" s="8">
        <v>1</v>
      </c>
      <c r="D240" s="8">
        <v>26</v>
      </c>
      <c r="E240" s="8">
        <v>21.170959</v>
      </c>
      <c r="F240" s="8">
        <v>13</v>
      </c>
      <c r="G240" s="8">
        <v>30</v>
      </c>
      <c r="H240" s="8">
        <v>20</v>
      </c>
      <c r="I240" s="8">
        <v>4.8290410000000001</v>
      </c>
    </row>
    <row r="241" spans="1:9" x14ac:dyDescent="0.25">
      <c r="A241" s="8">
        <v>3071</v>
      </c>
      <c r="B241" s="8" t="s">
        <v>27</v>
      </c>
      <c r="C241" s="8">
        <v>1</v>
      </c>
      <c r="D241" s="8">
        <v>23.5</v>
      </c>
      <c r="E241" s="8">
        <v>21.176429199999998</v>
      </c>
      <c r="F241" s="8">
        <v>16</v>
      </c>
      <c r="G241" s="8">
        <v>37</v>
      </c>
      <c r="H241" s="8">
        <v>27</v>
      </c>
      <c r="I241" s="8">
        <v>2.3235708000000024</v>
      </c>
    </row>
    <row r="242" spans="1:9" x14ac:dyDescent="0.25">
      <c r="A242" s="8">
        <v>3446</v>
      </c>
      <c r="B242" s="8" t="s">
        <v>27</v>
      </c>
      <c r="C242" s="8">
        <v>1</v>
      </c>
      <c r="D242" s="8">
        <v>25</v>
      </c>
      <c r="E242" s="8">
        <v>21.2220142</v>
      </c>
      <c r="F242" s="8">
        <v>17</v>
      </c>
      <c r="G242" s="8">
        <v>36</v>
      </c>
      <c r="H242" s="8">
        <v>26</v>
      </c>
      <c r="I242" s="8">
        <v>3.7779857999999997</v>
      </c>
    </row>
    <row r="243" spans="1:9" x14ac:dyDescent="0.25">
      <c r="A243" s="8">
        <v>3183</v>
      </c>
      <c r="B243" s="8" t="s">
        <v>27</v>
      </c>
      <c r="C243" s="8">
        <v>1</v>
      </c>
      <c r="D243" s="8">
        <v>24</v>
      </c>
      <c r="E243" s="8">
        <v>21.3277714</v>
      </c>
      <c r="F243" s="8">
        <v>15</v>
      </c>
      <c r="G243" s="8">
        <v>34</v>
      </c>
      <c r="H243" s="8">
        <v>24</v>
      </c>
      <c r="I243" s="8">
        <v>2.6722286000000004</v>
      </c>
    </row>
    <row r="244" spans="1:9" x14ac:dyDescent="0.25">
      <c r="A244" s="8">
        <v>3299</v>
      </c>
      <c r="B244" s="8" t="s">
        <v>27</v>
      </c>
      <c r="C244" s="8">
        <v>1</v>
      </c>
      <c r="D244" s="8">
        <v>24.5</v>
      </c>
      <c r="E244" s="8">
        <v>21.3277714</v>
      </c>
      <c r="F244" s="8">
        <v>15</v>
      </c>
      <c r="G244" s="8">
        <v>38</v>
      </c>
      <c r="H244" s="8">
        <v>28</v>
      </c>
      <c r="I244" s="8">
        <v>3.1722286000000004</v>
      </c>
    </row>
    <row r="245" spans="1:9" x14ac:dyDescent="0.25">
      <c r="A245" s="8">
        <v>3524</v>
      </c>
      <c r="B245" s="8" t="s">
        <v>27</v>
      </c>
      <c r="C245" s="8">
        <v>1</v>
      </c>
      <c r="D245" s="8">
        <v>27.5</v>
      </c>
      <c r="E245" s="8">
        <v>21.3605926</v>
      </c>
      <c r="F245" s="8">
        <v>17</v>
      </c>
      <c r="G245" s="8">
        <v>28</v>
      </c>
      <c r="H245" s="8">
        <v>18</v>
      </c>
      <c r="I245" s="8">
        <v>6.1394073999999996</v>
      </c>
    </row>
    <row r="246" spans="1:9" x14ac:dyDescent="0.25">
      <c r="A246" s="8">
        <v>3287</v>
      </c>
      <c r="B246" s="8" t="s">
        <v>27</v>
      </c>
      <c r="C246" s="8">
        <v>1</v>
      </c>
      <c r="D246" s="8">
        <v>22.5</v>
      </c>
      <c r="E246" s="8">
        <v>21.375179799999998</v>
      </c>
      <c r="F246" s="8">
        <v>13.5</v>
      </c>
      <c r="G246" s="8">
        <v>37</v>
      </c>
      <c r="H246" s="8">
        <v>27</v>
      </c>
      <c r="I246" s="8">
        <v>1.124820200000002</v>
      </c>
    </row>
    <row r="247" spans="1:9" x14ac:dyDescent="0.25">
      <c r="A247" s="8">
        <v>3564</v>
      </c>
      <c r="B247" s="8" t="s">
        <v>27</v>
      </c>
      <c r="C247" s="8">
        <v>1</v>
      </c>
      <c r="D247" s="8">
        <v>21.5</v>
      </c>
      <c r="E247" s="8">
        <v>21.4134712</v>
      </c>
      <c r="F247" s="8">
        <v>13.5</v>
      </c>
      <c r="G247" s="8">
        <v>41</v>
      </c>
      <c r="H247" s="8">
        <v>31</v>
      </c>
      <c r="I247" s="8">
        <v>8.6528799999999961E-2</v>
      </c>
    </row>
    <row r="248" spans="1:9" x14ac:dyDescent="0.25">
      <c r="A248" s="8">
        <v>3356</v>
      </c>
      <c r="B248" s="8" t="s">
        <v>27</v>
      </c>
      <c r="C248" s="8">
        <v>1</v>
      </c>
      <c r="D248" s="8">
        <v>25</v>
      </c>
      <c r="E248" s="8">
        <v>21.464526399999997</v>
      </c>
      <c r="F248" s="8">
        <v>15.5</v>
      </c>
      <c r="G248" s="8">
        <v>37</v>
      </c>
      <c r="H248" s="8">
        <v>27</v>
      </c>
      <c r="I248" s="8">
        <v>3.5354736000000031</v>
      </c>
    </row>
    <row r="249" spans="1:9" x14ac:dyDescent="0.25">
      <c r="A249" s="8">
        <v>3025</v>
      </c>
      <c r="B249" s="8" t="s">
        <v>27</v>
      </c>
      <c r="C249" s="8">
        <v>1</v>
      </c>
      <c r="D249" s="8">
        <v>23</v>
      </c>
      <c r="E249" s="8">
        <v>21.511934799999999</v>
      </c>
      <c r="F249" s="8">
        <v>15</v>
      </c>
      <c r="G249" s="8">
        <v>39</v>
      </c>
      <c r="H249" s="8">
        <v>29</v>
      </c>
      <c r="I249" s="8">
        <v>1.4880652000000012</v>
      </c>
    </row>
    <row r="250" spans="1:9" x14ac:dyDescent="0.25">
      <c r="A250" s="8">
        <v>3293</v>
      </c>
      <c r="B250" s="8" t="s">
        <v>27</v>
      </c>
      <c r="C250" s="8">
        <v>1</v>
      </c>
      <c r="D250" s="8">
        <v>26</v>
      </c>
      <c r="E250" s="8">
        <v>21.728919399999999</v>
      </c>
      <c r="F250" s="8">
        <v>13</v>
      </c>
      <c r="G250" s="8">
        <v>35</v>
      </c>
      <c r="H250" s="8">
        <v>25</v>
      </c>
      <c r="I250" s="8">
        <v>4.2710806000000012</v>
      </c>
    </row>
    <row r="251" spans="1:9" x14ac:dyDescent="0.25">
      <c r="A251" s="8">
        <v>3092</v>
      </c>
      <c r="B251" s="8" t="s">
        <v>27</v>
      </c>
      <c r="C251" s="8">
        <v>1</v>
      </c>
      <c r="D251" s="8">
        <v>25</v>
      </c>
      <c r="E251" s="8">
        <v>21.765387400000002</v>
      </c>
      <c r="F251" s="8">
        <v>15.5</v>
      </c>
      <c r="G251" s="8">
        <v>35</v>
      </c>
      <c r="H251" s="8">
        <v>25</v>
      </c>
      <c r="I251" s="8">
        <v>3.2346125999999984</v>
      </c>
    </row>
    <row r="252" spans="1:9" x14ac:dyDescent="0.25">
      <c r="A252" s="8">
        <v>3017</v>
      </c>
      <c r="B252" s="8" t="s">
        <v>27</v>
      </c>
      <c r="C252" s="8">
        <v>1</v>
      </c>
      <c r="D252" s="8">
        <v>26.5</v>
      </c>
      <c r="E252" s="8">
        <v>21.785444799999997</v>
      </c>
      <c r="F252" s="8">
        <v>15</v>
      </c>
      <c r="G252" s="8">
        <v>36</v>
      </c>
      <c r="H252" s="8">
        <v>26</v>
      </c>
      <c r="I252" s="8">
        <v>4.7145552000000031</v>
      </c>
    </row>
    <row r="253" spans="1:9" x14ac:dyDescent="0.25">
      <c r="A253" s="8">
        <v>3314</v>
      </c>
      <c r="B253" s="8" t="s">
        <v>27</v>
      </c>
      <c r="C253" s="8">
        <v>1</v>
      </c>
      <c r="D253" s="8">
        <v>26.5</v>
      </c>
      <c r="E253" s="8">
        <v>21.800032000000002</v>
      </c>
      <c r="F253" s="8">
        <v>15</v>
      </c>
      <c r="G253" s="8">
        <v>35</v>
      </c>
      <c r="H253" s="8">
        <v>25</v>
      </c>
      <c r="I253" s="8">
        <v>4.6999679999999984</v>
      </c>
    </row>
    <row r="254" spans="1:9" x14ac:dyDescent="0.25">
      <c r="A254" s="8">
        <v>3078</v>
      </c>
      <c r="B254" s="8" t="s">
        <v>27</v>
      </c>
      <c r="C254" s="8">
        <v>1</v>
      </c>
      <c r="D254" s="8">
        <v>26</v>
      </c>
      <c r="E254" s="8">
        <v>21.820089399999997</v>
      </c>
      <c r="F254" s="8">
        <v>17.5</v>
      </c>
      <c r="G254" s="8">
        <v>38</v>
      </c>
      <c r="H254" s="8">
        <v>28</v>
      </c>
      <c r="I254" s="8">
        <v>4.179910600000003</v>
      </c>
    </row>
    <row r="255" spans="1:9" x14ac:dyDescent="0.25">
      <c r="A255" s="8">
        <v>3249</v>
      </c>
      <c r="B255" s="8" t="s">
        <v>27</v>
      </c>
      <c r="C255" s="8">
        <v>1</v>
      </c>
      <c r="D255" s="8">
        <v>27</v>
      </c>
      <c r="E255" s="8">
        <v>21.882085</v>
      </c>
      <c r="G255" s="8">
        <v>35</v>
      </c>
      <c r="H255" s="8">
        <v>25</v>
      </c>
      <c r="I255" s="8">
        <v>5.117915</v>
      </c>
    </row>
    <row r="256" spans="1:9" x14ac:dyDescent="0.25">
      <c r="A256" s="8">
        <v>3483</v>
      </c>
      <c r="B256" s="8" t="s">
        <v>27</v>
      </c>
      <c r="C256" s="8">
        <v>1</v>
      </c>
      <c r="D256" s="8">
        <v>27</v>
      </c>
      <c r="E256" s="8">
        <v>21.894848799999998</v>
      </c>
      <c r="F256" s="8">
        <v>13</v>
      </c>
      <c r="G256" s="8">
        <v>39</v>
      </c>
      <c r="H256" s="8">
        <v>29</v>
      </c>
      <c r="I256" s="8">
        <v>5.1051512000000017</v>
      </c>
    </row>
    <row r="257" spans="1:9" x14ac:dyDescent="0.25">
      <c r="A257" s="8">
        <v>3257</v>
      </c>
      <c r="B257" s="8" t="s">
        <v>27</v>
      </c>
      <c r="C257" s="8">
        <v>1</v>
      </c>
      <c r="D257" s="8">
        <v>26.5</v>
      </c>
      <c r="E257" s="8">
        <v>21.947727399999998</v>
      </c>
      <c r="F257" s="8">
        <v>18</v>
      </c>
      <c r="G257" s="8">
        <v>38</v>
      </c>
      <c r="H257" s="8">
        <v>28</v>
      </c>
      <c r="I257" s="8">
        <v>4.552272600000002</v>
      </c>
    </row>
    <row r="258" spans="1:9" x14ac:dyDescent="0.25">
      <c r="A258" s="8">
        <v>3311</v>
      </c>
      <c r="B258" s="8" t="s">
        <v>27</v>
      </c>
      <c r="C258" s="8">
        <v>1</v>
      </c>
      <c r="D258" s="8">
        <v>27.5</v>
      </c>
      <c r="E258" s="8">
        <v>21.982371999999998</v>
      </c>
      <c r="F258" s="8">
        <v>16.5</v>
      </c>
      <c r="G258" s="8">
        <v>35</v>
      </c>
      <c r="H258" s="8">
        <v>25</v>
      </c>
      <c r="I258" s="8">
        <v>5.517628000000002</v>
      </c>
    </row>
    <row r="259" spans="1:9" x14ac:dyDescent="0.25">
      <c r="A259" s="8">
        <v>3335</v>
      </c>
      <c r="B259" s="8" t="s">
        <v>27</v>
      </c>
      <c r="C259" s="8">
        <v>1</v>
      </c>
      <c r="D259" s="8">
        <v>23.5</v>
      </c>
      <c r="E259" s="8">
        <v>21.991489000000001</v>
      </c>
      <c r="F259" s="8">
        <v>15</v>
      </c>
      <c r="G259" s="8">
        <v>39</v>
      </c>
      <c r="H259" s="8">
        <v>29</v>
      </c>
      <c r="I259" s="8">
        <v>1.5085109999999986</v>
      </c>
    </row>
    <row r="260" spans="1:9" x14ac:dyDescent="0.25">
      <c r="A260" s="8">
        <v>3271</v>
      </c>
      <c r="B260" s="8" t="s">
        <v>27</v>
      </c>
      <c r="C260" s="8">
        <v>1</v>
      </c>
      <c r="D260" s="8">
        <v>25</v>
      </c>
      <c r="E260" s="8">
        <v>22.000605999999998</v>
      </c>
      <c r="F260" s="8">
        <v>13</v>
      </c>
      <c r="G260" s="8">
        <v>37</v>
      </c>
      <c r="H260" s="8">
        <v>27</v>
      </c>
      <c r="I260" s="8">
        <v>2.9993940000000023</v>
      </c>
    </row>
    <row r="261" spans="1:9" x14ac:dyDescent="0.25">
      <c r="A261" s="8">
        <v>3110</v>
      </c>
      <c r="B261" s="8" t="s">
        <v>27</v>
      </c>
      <c r="C261" s="8">
        <v>1</v>
      </c>
      <c r="D261" s="8">
        <v>25</v>
      </c>
      <c r="E261" s="8">
        <v>22.027957000000001</v>
      </c>
      <c r="F261" s="8">
        <v>14.5</v>
      </c>
      <c r="G261" s="8">
        <v>36</v>
      </c>
      <c r="H261" s="8">
        <v>26</v>
      </c>
      <c r="I261" s="8">
        <v>2.9720429999999993</v>
      </c>
    </row>
    <row r="262" spans="1:9" x14ac:dyDescent="0.25">
      <c r="A262" s="8">
        <v>3447</v>
      </c>
      <c r="B262" s="8" t="s">
        <v>27</v>
      </c>
      <c r="C262" s="8">
        <v>1</v>
      </c>
      <c r="D262" s="8">
        <v>26.5</v>
      </c>
      <c r="E262" s="8">
        <v>22.1337142</v>
      </c>
      <c r="F262" s="8">
        <v>16</v>
      </c>
      <c r="G262" s="8">
        <v>28</v>
      </c>
      <c r="H262" s="8">
        <v>18</v>
      </c>
      <c r="I262" s="8">
        <v>4.3662858</v>
      </c>
    </row>
    <row r="263" spans="1:9" x14ac:dyDescent="0.25">
      <c r="A263" s="8">
        <v>3471</v>
      </c>
      <c r="B263" s="8" t="s">
        <v>27</v>
      </c>
      <c r="C263" s="8">
        <v>1</v>
      </c>
      <c r="D263" s="8">
        <v>28.5</v>
      </c>
      <c r="E263" s="8">
        <v>22.283233000000003</v>
      </c>
      <c r="F263" s="8">
        <v>15</v>
      </c>
      <c r="G263" s="8">
        <v>35</v>
      </c>
      <c r="H263" s="8">
        <v>25</v>
      </c>
      <c r="I263" s="8">
        <v>6.2167669999999973</v>
      </c>
    </row>
    <row r="264" spans="1:9" x14ac:dyDescent="0.25">
      <c r="A264" s="8">
        <v>3453</v>
      </c>
      <c r="B264" s="8" t="s">
        <v>27</v>
      </c>
      <c r="C264" s="8">
        <v>1</v>
      </c>
      <c r="D264" s="8">
        <v>24.5</v>
      </c>
      <c r="E264" s="8">
        <v>22.292349999999999</v>
      </c>
      <c r="F264" s="8">
        <v>16.5</v>
      </c>
      <c r="G264" s="8">
        <v>41</v>
      </c>
      <c r="H264" s="8">
        <v>31</v>
      </c>
      <c r="I264" s="8">
        <v>2.207650000000001</v>
      </c>
    </row>
    <row r="265" spans="1:9" x14ac:dyDescent="0.25">
      <c r="A265" s="8">
        <v>3355</v>
      </c>
      <c r="B265" s="8" t="s">
        <v>27</v>
      </c>
      <c r="C265" s="8">
        <v>1</v>
      </c>
      <c r="D265" s="8">
        <v>24</v>
      </c>
      <c r="E265" s="8">
        <v>22.294173399999998</v>
      </c>
      <c r="F265" s="8">
        <v>13</v>
      </c>
      <c r="G265" s="8">
        <v>37</v>
      </c>
      <c r="H265" s="8">
        <v>27</v>
      </c>
      <c r="I265" s="8">
        <v>1.7058266000000017</v>
      </c>
    </row>
    <row r="266" spans="1:9" x14ac:dyDescent="0.25">
      <c r="A266" s="8">
        <v>3687</v>
      </c>
      <c r="B266" s="8" t="s">
        <v>27</v>
      </c>
      <c r="C266" s="8">
        <v>1</v>
      </c>
      <c r="D266" s="8">
        <v>30</v>
      </c>
      <c r="E266" s="8">
        <v>22.319701000000002</v>
      </c>
      <c r="F266" s="8">
        <v>16</v>
      </c>
      <c r="G266" s="8">
        <v>36</v>
      </c>
      <c r="H266" s="8">
        <v>26</v>
      </c>
      <c r="I266" s="8">
        <v>7.680298999999998</v>
      </c>
    </row>
    <row r="267" spans="1:9" x14ac:dyDescent="0.25">
      <c r="A267" s="8">
        <v>3333</v>
      </c>
      <c r="B267" s="8" t="s">
        <v>27</v>
      </c>
      <c r="C267" s="8">
        <v>1</v>
      </c>
      <c r="D267" s="8">
        <v>24.5</v>
      </c>
      <c r="E267" s="8">
        <v>22.343405199999999</v>
      </c>
      <c r="F267" s="8">
        <v>15.5</v>
      </c>
      <c r="G267" s="8">
        <v>36</v>
      </c>
      <c r="H267" s="8">
        <v>26</v>
      </c>
      <c r="I267" s="8">
        <v>2.1565948000000006</v>
      </c>
    </row>
    <row r="268" spans="1:9" x14ac:dyDescent="0.25">
      <c r="A268" s="8">
        <v>3606</v>
      </c>
      <c r="B268" s="8" t="s">
        <v>27</v>
      </c>
      <c r="C268" s="8">
        <v>1</v>
      </c>
      <c r="D268" s="8">
        <v>24.5</v>
      </c>
      <c r="E268" s="8">
        <v>22.388990200000002</v>
      </c>
      <c r="F268" s="8">
        <v>15</v>
      </c>
      <c r="G268" s="8">
        <v>38</v>
      </c>
      <c r="H268" s="8">
        <v>28</v>
      </c>
      <c r="I268" s="8">
        <v>2.1110097999999979</v>
      </c>
    </row>
    <row r="269" spans="1:9" x14ac:dyDescent="0.25">
      <c r="A269" s="8">
        <v>3319</v>
      </c>
      <c r="B269" s="8" t="s">
        <v>27</v>
      </c>
      <c r="C269" s="8">
        <v>1</v>
      </c>
      <c r="D269" s="8">
        <v>23.5</v>
      </c>
      <c r="E269" s="8">
        <v>22.401754</v>
      </c>
      <c r="F269" s="8">
        <v>16</v>
      </c>
      <c r="G269" s="8">
        <v>40</v>
      </c>
      <c r="H269" s="8">
        <v>30</v>
      </c>
      <c r="I269" s="8">
        <v>1.0982459999999996</v>
      </c>
    </row>
    <row r="270" spans="1:9" x14ac:dyDescent="0.25">
      <c r="A270" s="8">
        <v>3422</v>
      </c>
      <c r="B270" s="8" t="s">
        <v>27</v>
      </c>
      <c r="C270" s="8">
        <v>1</v>
      </c>
      <c r="D270" s="8">
        <v>23.5</v>
      </c>
      <c r="E270" s="8">
        <v>22.401754</v>
      </c>
      <c r="F270" s="8">
        <v>15.5</v>
      </c>
      <c r="G270" s="8">
        <v>42</v>
      </c>
      <c r="H270" s="8">
        <v>32</v>
      </c>
      <c r="I270" s="8">
        <v>1.0982459999999996</v>
      </c>
    </row>
    <row r="271" spans="1:9" x14ac:dyDescent="0.25">
      <c r="A271" s="8">
        <v>3045</v>
      </c>
      <c r="B271" s="8" t="s">
        <v>27</v>
      </c>
      <c r="C271" s="8">
        <v>1</v>
      </c>
      <c r="D271" s="8">
        <v>24.5</v>
      </c>
      <c r="E271" s="8">
        <v>22.4035774</v>
      </c>
      <c r="F271" s="8">
        <v>15.5</v>
      </c>
      <c r="G271" s="8">
        <v>37</v>
      </c>
      <c r="H271" s="8">
        <v>27</v>
      </c>
      <c r="I271" s="8">
        <v>2.0964226000000004</v>
      </c>
    </row>
    <row r="272" spans="1:9" x14ac:dyDescent="0.25">
      <c r="A272" s="8">
        <v>3097</v>
      </c>
      <c r="B272" s="8" t="s">
        <v>27</v>
      </c>
      <c r="C272" s="8">
        <v>1</v>
      </c>
      <c r="D272" s="8">
        <v>28</v>
      </c>
      <c r="E272" s="8">
        <v>22.443692200000001</v>
      </c>
      <c r="F272" s="8">
        <v>16.5</v>
      </c>
      <c r="G272" s="8">
        <v>35</v>
      </c>
      <c r="H272" s="8">
        <v>25</v>
      </c>
      <c r="I272" s="8">
        <v>5.556307799999999</v>
      </c>
    </row>
    <row r="273" spans="1:9" x14ac:dyDescent="0.25">
      <c r="A273" s="8">
        <v>3407</v>
      </c>
      <c r="B273" s="8" t="s">
        <v>27</v>
      </c>
      <c r="C273" s="8">
        <v>1</v>
      </c>
      <c r="D273" s="8">
        <v>25</v>
      </c>
      <c r="E273" s="8">
        <v>22.4546326</v>
      </c>
      <c r="F273" s="8">
        <v>19</v>
      </c>
      <c r="G273" s="8">
        <v>41</v>
      </c>
      <c r="H273" s="8">
        <v>31</v>
      </c>
      <c r="I273" s="8">
        <v>2.5453673999999999</v>
      </c>
    </row>
    <row r="274" spans="1:9" x14ac:dyDescent="0.25">
      <c r="A274" s="8">
        <v>3432</v>
      </c>
      <c r="B274" s="8" t="s">
        <v>27</v>
      </c>
      <c r="C274" s="8">
        <v>1</v>
      </c>
      <c r="D274" s="8">
        <v>25.5</v>
      </c>
      <c r="E274" s="8">
        <v>22.4728666</v>
      </c>
      <c r="F274" s="8">
        <v>18</v>
      </c>
      <c r="G274" s="8">
        <v>42</v>
      </c>
      <c r="H274" s="8">
        <v>32</v>
      </c>
      <c r="I274" s="8">
        <v>3.0271334000000003</v>
      </c>
    </row>
    <row r="275" spans="1:9" x14ac:dyDescent="0.25">
      <c r="A275" s="8">
        <v>3621</v>
      </c>
      <c r="B275" s="8" t="s">
        <v>27</v>
      </c>
      <c r="C275" s="8">
        <v>1</v>
      </c>
      <c r="D275" s="8">
        <v>27.5</v>
      </c>
      <c r="E275" s="8">
        <v>22.534862199999999</v>
      </c>
      <c r="F275" s="8">
        <v>16</v>
      </c>
      <c r="G275" s="8">
        <v>38</v>
      </c>
      <c r="H275" s="8">
        <v>28</v>
      </c>
      <c r="I275" s="8">
        <v>4.9651378000000008</v>
      </c>
    </row>
    <row r="276" spans="1:9" x14ac:dyDescent="0.25">
      <c r="A276" s="8">
        <v>3098</v>
      </c>
      <c r="B276" s="8" t="s">
        <v>27</v>
      </c>
      <c r="C276" s="8">
        <v>1</v>
      </c>
      <c r="D276" s="8">
        <v>26</v>
      </c>
      <c r="E276" s="8">
        <v>22.543979199999999</v>
      </c>
      <c r="F276" s="8">
        <v>18.5</v>
      </c>
      <c r="G276" s="8">
        <v>35</v>
      </c>
      <c r="H276" s="8">
        <v>25</v>
      </c>
      <c r="I276" s="8">
        <v>3.456020800000001</v>
      </c>
    </row>
    <row r="277" spans="1:9" x14ac:dyDescent="0.25">
      <c r="A277" s="8">
        <v>3559</v>
      </c>
      <c r="B277" s="8" t="s">
        <v>27</v>
      </c>
      <c r="C277" s="8">
        <v>1</v>
      </c>
      <c r="D277" s="8">
        <v>26</v>
      </c>
      <c r="E277" s="8">
        <v>22.569506799999999</v>
      </c>
      <c r="F277" s="8">
        <v>15</v>
      </c>
      <c r="G277" s="8">
        <v>42</v>
      </c>
      <c r="H277" s="8">
        <v>32</v>
      </c>
      <c r="I277" s="8">
        <v>3.4304932000000008</v>
      </c>
    </row>
    <row r="278" spans="1:9" x14ac:dyDescent="0.25">
      <c r="A278" s="8">
        <v>3297</v>
      </c>
      <c r="B278" s="8" t="s">
        <v>27</v>
      </c>
      <c r="C278" s="8">
        <v>1</v>
      </c>
      <c r="D278" s="8">
        <v>28</v>
      </c>
      <c r="E278" s="8">
        <v>22.6880278</v>
      </c>
      <c r="F278" s="8">
        <v>15</v>
      </c>
      <c r="G278" s="8">
        <v>36</v>
      </c>
      <c r="H278" s="8">
        <v>26</v>
      </c>
      <c r="I278" s="8">
        <v>5.3119721999999996</v>
      </c>
    </row>
    <row r="279" spans="1:9" x14ac:dyDescent="0.25">
      <c r="A279" s="8">
        <v>3091</v>
      </c>
      <c r="B279" s="8" t="s">
        <v>27</v>
      </c>
      <c r="C279" s="8">
        <v>1</v>
      </c>
      <c r="D279" s="8">
        <v>25</v>
      </c>
      <c r="E279" s="8">
        <v>22.7500234</v>
      </c>
      <c r="F279" s="8">
        <v>15.5</v>
      </c>
      <c r="G279" s="8">
        <v>38</v>
      </c>
      <c r="H279" s="8">
        <v>28</v>
      </c>
      <c r="I279" s="8">
        <v>2.2499766000000001</v>
      </c>
    </row>
    <row r="280" spans="1:9" x14ac:dyDescent="0.25">
      <c r="A280" s="8">
        <v>3034</v>
      </c>
      <c r="B280" s="8" t="s">
        <v>27</v>
      </c>
      <c r="C280" s="8">
        <v>1</v>
      </c>
      <c r="D280" s="8">
        <v>25.5</v>
      </c>
      <c r="E280" s="8">
        <v>22.751846799999999</v>
      </c>
      <c r="F280" s="8">
        <v>13.5</v>
      </c>
      <c r="G280" s="8">
        <v>32</v>
      </c>
      <c r="H280" s="8">
        <v>22</v>
      </c>
      <c r="I280" s="8">
        <v>2.7481532000000009</v>
      </c>
    </row>
    <row r="281" spans="1:9" x14ac:dyDescent="0.25">
      <c r="A281" s="8">
        <v>3539</v>
      </c>
      <c r="B281" s="8" t="s">
        <v>27</v>
      </c>
      <c r="C281" s="8">
        <v>1</v>
      </c>
      <c r="D281" s="8">
        <v>26</v>
      </c>
      <c r="E281" s="8">
        <v>22.779197799999999</v>
      </c>
      <c r="F281" s="8">
        <v>14</v>
      </c>
      <c r="G281" s="8">
        <v>44</v>
      </c>
      <c r="H281" s="8">
        <v>34</v>
      </c>
      <c r="I281" s="8">
        <v>3.2208022000000014</v>
      </c>
    </row>
    <row r="282" spans="1:9" x14ac:dyDescent="0.25">
      <c r="A282" s="8">
        <v>3538</v>
      </c>
      <c r="B282" s="8" t="s">
        <v>27</v>
      </c>
      <c r="C282" s="8">
        <v>1</v>
      </c>
      <c r="D282" s="8">
        <v>28</v>
      </c>
      <c r="E282" s="8">
        <v>22.8193126</v>
      </c>
      <c r="F282" s="8">
        <v>14</v>
      </c>
      <c r="G282" s="8">
        <v>32</v>
      </c>
      <c r="H282" s="8">
        <v>22</v>
      </c>
      <c r="I282" s="8">
        <v>5.1806874000000001</v>
      </c>
    </row>
    <row r="283" spans="1:9" x14ac:dyDescent="0.25">
      <c r="A283" s="8">
        <v>3450</v>
      </c>
      <c r="B283" s="8" t="s">
        <v>27</v>
      </c>
      <c r="C283" s="8">
        <v>1</v>
      </c>
      <c r="D283" s="8">
        <v>24.5</v>
      </c>
      <c r="E283" s="8">
        <v>22.8539572</v>
      </c>
      <c r="F283" s="8">
        <v>13.5</v>
      </c>
      <c r="G283" s="8">
        <v>38</v>
      </c>
      <c r="H283" s="8">
        <v>28</v>
      </c>
      <c r="I283" s="8">
        <v>1.6460428</v>
      </c>
    </row>
    <row r="284" spans="1:9" x14ac:dyDescent="0.25">
      <c r="A284" s="8">
        <v>3075</v>
      </c>
      <c r="B284" s="8" t="s">
        <v>27</v>
      </c>
      <c r="C284" s="8">
        <v>1</v>
      </c>
      <c r="D284" s="8">
        <v>27</v>
      </c>
      <c r="E284" s="8">
        <v>22.875837999999998</v>
      </c>
      <c r="F284" s="8">
        <v>15.5</v>
      </c>
      <c r="G284" s="8">
        <v>37</v>
      </c>
      <c r="H284" s="8">
        <v>27</v>
      </c>
      <c r="I284" s="8">
        <v>4.1241620000000019</v>
      </c>
    </row>
    <row r="285" spans="1:9" x14ac:dyDescent="0.25">
      <c r="A285" s="8">
        <v>3282</v>
      </c>
      <c r="B285" s="8" t="s">
        <v>27</v>
      </c>
      <c r="C285" s="8">
        <v>1</v>
      </c>
      <c r="D285" s="8">
        <v>28</v>
      </c>
      <c r="E285" s="8">
        <v>22.895895399999997</v>
      </c>
      <c r="F285" s="8">
        <v>17</v>
      </c>
      <c r="G285" s="8">
        <v>38</v>
      </c>
      <c r="H285" s="8">
        <v>28</v>
      </c>
      <c r="I285" s="8">
        <v>5.104104600000003</v>
      </c>
    </row>
    <row r="286" spans="1:9" x14ac:dyDescent="0.25">
      <c r="A286" s="8">
        <v>3215</v>
      </c>
      <c r="B286" s="8" t="s">
        <v>27</v>
      </c>
      <c r="C286" s="8">
        <v>1</v>
      </c>
      <c r="D286" s="8">
        <v>27.5</v>
      </c>
      <c r="E286" s="8">
        <v>22.959714399999999</v>
      </c>
      <c r="F286" s="8">
        <v>14.5</v>
      </c>
      <c r="G286" s="8">
        <v>37</v>
      </c>
      <c r="H286" s="8">
        <v>27</v>
      </c>
      <c r="I286" s="8">
        <v>4.5402856000000007</v>
      </c>
    </row>
    <row r="287" spans="1:9" x14ac:dyDescent="0.25">
      <c r="A287" s="8">
        <v>3152</v>
      </c>
      <c r="B287" s="8" t="s">
        <v>27</v>
      </c>
      <c r="C287" s="8">
        <v>1</v>
      </c>
      <c r="D287" s="8">
        <v>26</v>
      </c>
      <c r="E287" s="8">
        <v>22.959714399999999</v>
      </c>
      <c r="F287" s="8">
        <v>16.5</v>
      </c>
      <c r="G287" s="8">
        <v>37</v>
      </c>
      <c r="H287" s="8">
        <v>27</v>
      </c>
      <c r="I287" s="8">
        <v>3.0402856000000007</v>
      </c>
    </row>
    <row r="288" spans="1:9" x14ac:dyDescent="0.25">
      <c r="A288" s="8">
        <v>3321</v>
      </c>
      <c r="B288" s="8" t="s">
        <v>27</v>
      </c>
      <c r="C288" s="8">
        <v>1</v>
      </c>
      <c r="D288" s="8">
        <v>24.5</v>
      </c>
      <c r="E288" s="8">
        <v>23.0800588</v>
      </c>
      <c r="F288" s="8">
        <v>16</v>
      </c>
      <c r="G288" s="8">
        <v>37</v>
      </c>
      <c r="H288" s="8">
        <v>27</v>
      </c>
      <c r="I288" s="8">
        <v>1.4199412000000002</v>
      </c>
    </row>
    <row r="289" spans="1:9" x14ac:dyDescent="0.25">
      <c r="A289" s="8">
        <v>3620</v>
      </c>
      <c r="B289" s="8" t="s">
        <v>27</v>
      </c>
      <c r="C289" s="8">
        <v>1</v>
      </c>
      <c r="D289" s="8">
        <v>24.5</v>
      </c>
      <c r="E289" s="8">
        <v>23.111056599999998</v>
      </c>
      <c r="F289" s="8">
        <v>15</v>
      </c>
      <c r="G289" s="8">
        <v>43</v>
      </c>
      <c r="H289" s="8">
        <v>33</v>
      </c>
      <c r="I289" s="8">
        <v>1.3889434000000023</v>
      </c>
    </row>
    <row r="290" spans="1:9" x14ac:dyDescent="0.25">
      <c r="A290" s="8">
        <v>3465</v>
      </c>
      <c r="B290" s="8" t="s">
        <v>27</v>
      </c>
      <c r="C290" s="8">
        <v>1</v>
      </c>
      <c r="D290" s="8">
        <v>25</v>
      </c>
      <c r="E290" s="8">
        <v>23.185815999999999</v>
      </c>
      <c r="F290" s="8">
        <v>15.5</v>
      </c>
      <c r="G290" s="8">
        <v>41</v>
      </c>
      <c r="H290" s="8">
        <v>31</v>
      </c>
      <c r="I290" s="8">
        <v>1.8141840000000009</v>
      </c>
    </row>
    <row r="291" spans="1:9" x14ac:dyDescent="0.25">
      <c r="A291" s="8">
        <v>3445</v>
      </c>
      <c r="B291" s="8" t="s">
        <v>27</v>
      </c>
      <c r="C291" s="8">
        <v>1</v>
      </c>
      <c r="D291" s="8">
        <v>26</v>
      </c>
      <c r="E291" s="8">
        <v>23.198579799999997</v>
      </c>
      <c r="F291" s="8">
        <v>16</v>
      </c>
      <c r="G291" s="8">
        <v>37</v>
      </c>
      <c r="H291" s="8">
        <v>27</v>
      </c>
      <c r="I291" s="8">
        <v>2.8014202000000026</v>
      </c>
    </row>
    <row r="292" spans="1:9" x14ac:dyDescent="0.25">
      <c r="A292" s="8">
        <v>3378</v>
      </c>
      <c r="B292" s="8" t="s">
        <v>27</v>
      </c>
      <c r="C292" s="8">
        <v>1</v>
      </c>
      <c r="D292" s="8">
        <v>27.5</v>
      </c>
      <c r="E292" s="8">
        <v>23.258751999999998</v>
      </c>
      <c r="F292" s="8">
        <v>14.5</v>
      </c>
      <c r="G292" s="8">
        <v>40</v>
      </c>
      <c r="H292" s="8">
        <v>30</v>
      </c>
      <c r="I292" s="8">
        <v>4.2412480000000023</v>
      </c>
    </row>
    <row r="293" spans="1:9" x14ac:dyDescent="0.25">
      <c r="A293" s="8">
        <v>3050</v>
      </c>
      <c r="B293" s="8" t="s">
        <v>27</v>
      </c>
      <c r="C293" s="8">
        <v>1</v>
      </c>
      <c r="D293" s="8">
        <v>27.5</v>
      </c>
      <c r="E293" s="8">
        <v>23.2788094</v>
      </c>
      <c r="F293" s="8">
        <v>19.5</v>
      </c>
      <c r="G293" s="8">
        <v>34</v>
      </c>
      <c r="H293" s="8">
        <v>24</v>
      </c>
      <c r="I293" s="8">
        <v>4.2211905999999999</v>
      </c>
    </row>
    <row r="294" spans="1:9" x14ac:dyDescent="0.25">
      <c r="A294" s="8">
        <v>3489</v>
      </c>
      <c r="B294" s="8" t="s">
        <v>27</v>
      </c>
      <c r="C294" s="8">
        <v>1</v>
      </c>
      <c r="D294" s="8">
        <v>29.5</v>
      </c>
      <c r="E294" s="8">
        <v>23.284279600000001</v>
      </c>
      <c r="F294" s="8">
        <v>14.5</v>
      </c>
      <c r="G294" s="8">
        <v>37</v>
      </c>
      <c r="H294" s="8">
        <v>27</v>
      </c>
      <c r="I294" s="8">
        <v>6.2157203999999986</v>
      </c>
    </row>
    <row r="295" spans="1:9" x14ac:dyDescent="0.25">
      <c r="A295" s="8">
        <v>3466</v>
      </c>
      <c r="B295" s="8" t="s">
        <v>27</v>
      </c>
      <c r="C295" s="8">
        <v>1</v>
      </c>
      <c r="D295" s="8">
        <v>26.5</v>
      </c>
      <c r="E295" s="8">
        <v>23.291573199999998</v>
      </c>
      <c r="F295" s="8">
        <v>14.5</v>
      </c>
      <c r="G295" s="8">
        <v>37</v>
      </c>
      <c r="H295" s="8">
        <v>27</v>
      </c>
      <c r="I295" s="8">
        <v>3.2084268000000016</v>
      </c>
    </row>
    <row r="296" spans="1:9" x14ac:dyDescent="0.25">
      <c r="A296" s="8">
        <v>3340</v>
      </c>
      <c r="B296" s="8" t="s">
        <v>27</v>
      </c>
      <c r="C296" s="8">
        <v>1</v>
      </c>
      <c r="D296" s="8">
        <v>24</v>
      </c>
      <c r="E296" s="8">
        <v>23.402800599999999</v>
      </c>
      <c r="F296" s="8">
        <v>15.5</v>
      </c>
      <c r="G296" s="8">
        <v>38</v>
      </c>
      <c r="H296" s="8">
        <v>28</v>
      </c>
      <c r="I296" s="8">
        <v>0.59719940000000094</v>
      </c>
    </row>
    <row r="297" spans="1:9" x14ac:dyDescent="0.25">
      <c r="A297" s="8">
        <v>3330</v>
      </c>
      <c r="B297" s="8" t="s">
        <v>27</v>
      </c>
      <c r="C297" s="8">
        <v>1</v>
      </c>
      <c r="D297" s="8">
        <v>24</v>
      </c>
      <c r="E297" s="8">
        <v>23.424681400000001</v>
      </c>
      <c r="F297" s="8">
        <v>17</v>
      </c>
      <c r="G297" s="8">
        <v>38</v>
      </c>
      <c r="H297" s="8">
        <v>28</v>
      </c>
      <c r="I297" s="8">
        <v>0.57531859999999924</v>
      </c>
    </row>
    <row r="298" spans="1:9" x14ac:dyDescent="0.25">
      <c r="A298" s="8">
        <v>3306</v>
      </c>
      <c r="B298" s="8" t="s">
        <v>27</v>
      </c>
      <c r="C298" s="8">
        <v>1</v>
      </c>
      <c r="D298" s="8">
        <v>25.5</v>
      </c>
      <c r="E298" s="8">
        <v>23.4356218</v>
      </c>
      <c r="F298" s="8">
        <v>15</v>
      </c>
      <c r="G298" s="8">
        <v>39</v>
      </c>
      <c r="H298" s="8">
        <v>29</v>
      </c>
      <c r="I298" s="8">
        <v>2.0643782000000002</v>
      </c>
    </row>
    <row r="299" spans="1:9" x14ac:dyDescent="0.25">
      <c r="A299" s="8">
        <v>3323</v>
      </c>
      <c r="B299" s="8" t="s">
        <v>27</v>
      </c>
      <c r="C299" s="8">
        <v>1</v>
      </c>
      <c r="D299" s="8">
        <v>26.5</v>
      </c>
      <c r="E299" s="8">
        <v>23.528615200000001</v>
      </c>
      <c r="F299" s="8">
        <v>16.5</v>
      </c>
      <c r="G299" s="8">
        <v>37</v>
      </c>
      <c r="H299" s="8">
        <v>27</v>
      </c>
      <c r="I299" s="8">
        <v>2.9713847999999992</v>
      </c>
    </row>
    <row r="300" spans="1:9" x14ac:dyDescent="0.25">
      <c r="A300" s="8">
        <v>3181</v>
      </c>
      <c r="B300" s="8" t="s">
        <v>27</v>
      </c>
      <c r="C300" s="8">
        <v>1</v>
      </c>
      <c r="D300" s="8">
        <v>26</v>
      </c>
      <c r="E300" s="8">
        <v>23.563259799999997</v>
      </c>
      <c r="F300" s="8">
        <v>16</v>
      </c>
      <c r="G300" s="8">
        <v>43</v>
      </c>
      <c r="H300" s="8">
        <v>33</v>
      </c>
      <c r="I300" s="8">
        <v>2.4367402000000027</v>
      </c>
    </row>
    <row r="301" spans="1:9" x14ac:dyDescent="0.25">
      <c r="A301" s="8">
        <v>3341</v>
      </c>
      <c r="B301" s="8" t="s">
        <v>27</v>
      </c>
      <c r="C301" s="8">
        <v>1</v>
      </c>
      <c r="D301" s="8">
        <v>25</v>
      </c>
      <c r="E301" s="8">
        <v>23.7036616</v>
      </c>
      <c r="F301" s="8">
        <v>15</v>
      </c>
      <c r="G301" s="8">
        <v>40</v>
      </c>
      <c r="H301" s="8">
        <v>30</v>
      </c>
      <c r="I301" s="8">
        <v>1.2963383999999998</v>
      </c>
    </row>
    <row r="302" spans="1:9" x14ac:dyDescent="0.25">
      <c r="A302" s="8">
        <v>3048</v>
      </c>
      <c r="B302" s="8" t="s">
        <v>27</v>
      </c>
      <c r="C302" s="8">
        <v>1</v>
      </c>
      <c r="D302" s="8">
        <v>29</v>
      </c>
      <c r="E302" s="8">
        <v>23.707308399999999</v>
      </c>
      <c r="F302" s="8">
        <v>17</v>
      </c>
      <c r="G302" s="8">
        <v>30</v>
      </c>
      <c r="H302" s="8">
        <v>20</v>
      </c>
      <c r="I302" s="8">
        <v>5.2926916000000013</v>
      </c>
    </row>
    <row r="303" spans="1:9" x14ac:dyDescent="0.25">
      <c r="A303" s="8">
        <v>3248</v>
      </c>
      <c r="B303" s="8" t="s">
        <v>27</v>
      </c>
      <c r="C303" s="8">
        <v>1</v>
      </c>
      <c r="D303" s="8">
        <v>32.5</v>
      </c>
      <c r="E303" s="8">
        <v>23.710955199999997</v>
      </c>
      <c r="F303" s="8">
        <v>15</v>
      </c>
      <c r="G303" s="8">
        <v>30</v>
      </c>
      <c r="H303" s="8">
        <v>20</v>
      </c>
      <c r="I303" s="8">
        <v>8.7890448000000028</v>
      </c>
    </row>
    <row r="304" spans="1:9" x14ac:dyDescent="0.25">
      <c r="A304" s="8">
        <v>3066</v>
      </c>
      <c r="B304" s="8" t="s">
        <v>27</v>
      </c>
      <c r="C304" s="8">
        <v>1</v>
      </c>
      <c r="D304" s="8">
        <v>26</v>
      </c>
      <c r="E304" s="8">
        <v>23.740129599999999</v>
      </c>
      <c r="F304" s="8">
        <v>18</v>
      </c>
      <c r="G304" s="8">
        <v>37</v>
      </c>
      <c r="H304" s="8">
        <v>27</v>
      </c>
      <c r="I304" s="8">
        <v>2.2598704000000005</v>
      </c>
    </row>
    <row r="305" spans="1:9" x14ac:dyDescent="0.25">
      <c r="A305" s="8">
        <v>3079</v>
      </c>
      <c r="B305" s="8" t="s">
        <v>27</v>
      </c>
      <c r="C305" s="8">
        <v>1</v>
      </c>
      <c r="D305" s="8">
        <v>26</v>
      </c>
      <c r="E305" s="8">
        <v>23.875061200000001</v>
      </c>
      <c r="F305" s="8">
        <v>16.5</v>
      </c>
      <c r="G305" s="8">
        <v>35</v>
      </c>
      <c r="H305" s="8">
        <v>25</v>
      </c>
      <c r="I305" s="8">
        <v>2.1249387999999989</v>
      </c>
    </row>
    <row r="306" spans="1:9" x14ac:dyDescent="0.25">
      <c r="A306" s="8">
        <v>3008</v>
      </c>
      <c r="B306" s="8" t="s">
        <v>27</v>
      </c>
      <c r="C306" s="8">
        <v>1</v>
      </c>
      <c r="D306" s="8">
        <v>32</v>
      </c>
      <c r="E306" s="8">
        <v>23.891471799999998</v>
      </c>
      <c r="F306" s="8">
        <v>17</v>
      </c>
      <c r="G306" s="8">
        <v>35</v>
      </c>
      <c r="H306" s="8">
        <v>25</v>
      </c>
      <c r="I306" s="8">
        <v>8.1085282000000021</v>
      </c>
    </row>
    <row r="307" spans="1:9" x14ac:dyDescent="0.25">
      <c r="A307" s="8">
        <v>3236</v>
      </c>
      <c r="B307" s="8" t="s">
        <v>27</v>
      </c>
      <c r="C307" s="8">
        <v>1</v>
      </c>
      <c r="D307" s="8">
        <v>31</v>
      </c>
      <c r="E307" s="8">
        <v>24.000875799999999</v>
      </c>
      <c r="F307" s="8">
        <v>14.5</v>
      </c>
      <c r="G307" s="8">
        <v>33</v>
      </c>
      <c r="H307" s="8">
        <v>23</v>
      </c>
      <c r="I307" s="8">
        <v>6.9991242000000007</v>
      </c>
    </row>
    <row r="308" spans="1:9" x14ac:dyDescent="0.25">
      <c r="A308" s="8">
        <v>3291</v>
      </c>
      <c r="B308" s="8" t="s">
        <v>27</v>
      </c>
      <c r="C308" s="8">
        <v>1</v>
      </c>
      <c r="D308" s="8">
        <v>28.5</v>
      </c>
      <c r="E308" s="8">
        <v>24.013639599999998</v>
      </c>
      <c r="F308" s="8">
        <v>15</v>
      </c>
      <c r="G308" s="8">
        <v>38</v>
      </c>
      <c r="H308" s="8">
        <v>28</v>
      </c>
      <c r="I308" s="8">
        <v>4.4863604000000024</v>
      </c>
    </row>
    <row r="309" spans="1:9" x14ac:dyDescent="0.25">
      <c r="A309" s="8">
        <v>3322</v>
      </c>
      <c r="B309" s="8" t="s">
        <v>27</v>
      </c>
      <c r="C309" s="8">
        <v>1</v>
      </c>
      <c r="D309" s="8">
        <v>26.5</v>
      </c>
      <c r="E309" s="8">
        <v>24.154041400000001</v>
      </c>
      <c r="F309" s="8">
        <v>15</v>
      </c>
      <c r="G309" s="8">
        <v>37</v>
      </c>
      <c r="H309" s="8">
        <v>27</v>
      </c>
      <c r="I309" s="8">
        <v>2.3459585999999994</v>
      </c>
    </row>
    <row r="310" spans="1:9" x14ac:dyDescent="0.25">
      <c r="A310" s="8">
        <v>3475</v>
      </c>
      <c r="B310" s="8" t="s">
        <v>27</v>
      </c>
      <c r="C310" s="8">
        <v>1</v>
      </c>
      <c r="D310" s="8">
        <v>27.5</v>
      </c>
      <c r="E310" s="8">
        <v>24.174098799999999</v>
      </c>
      <c r="F310" s="8">
        <v>16.5</v>
      </c>
      <c r="G310" s="8">
        <v>36</v>
      </c>
      <c r="H310" s="8">
        <v>26</v>
      </c>
      <c r="I310" s="8">
        <v>3.3259012000000006</v>
      </c>
    </row>
    <row r="311" spans="1:9" x14ac:dyDescent="0.25">
      <c r="A311" s="8">
        <v>3384</v>
      </c>
      <c r="B311" s="8" t="s">
        <v>27</v>
      </c>
      <c r="C311" s="8">
        <v>1</v>
      </c>
      <c r="D311" s="8">
        <v>27</v>
      </c>
      <c r="E311" s="8">
        <v>24.542425599999998</v>
      </c>
      <c r="F311" s="8">
        <v>14</v>
      </c>
      <c r="G311" s="8">
        <v>36</v>
      </c>
      <c r="H311" s="8">
        <v>26</v>
      </c>
      <c r="I311" s="8">
        <v>2.4575744000000022</v>
      </c>
    </row>
    <row r="312" spans="1:9" x14ac:dyDescent="0.25">
      <c r="A312" s="8">
        <v>3147</v>
      </c>
      <c r="B312" s="8" t="s">
        <v>27</v>
      </c>
      <c r="C312" s="8">
        <v>1</v>
      </c>
      <c r="D312" s="8">
        <v>26</v>
      </c>
      <c r="E312" s="8">
        <v>24.558836199999998</v>
      </c>
      <c r="F312" s="8">
        <v>16.5</v>
      </c>
      <c r="G312" s="8">
        <v>39</v>
      </c>
      <c r="H312" s="8">
        <v>29</v>
      </c>
      <c r="I312" s="8">
        <v>1.4411638000000018</v>
      </c>
    </row>
    <row r="313" spans="1:9" x14ac:dyDescent="0.25">
      <c r="A313" s="8">
        <v>3295</v>
      </c>
      <c r="B313" s="8" t="s">
        <v>27</v>
      </c>
      <c r="C313" s="8">
        <v>1</v>
      </c>
      <c r="D313" s="8">
        <v>30</v>
      </c>
      <c r="E313" s="8">
        <v>24.575246799999999</v>
      </c>
      <c r="F313" s="8">
        <v>16</v>
      </c>
      <c r="G313" s="8">
        <v>33</v>
      </c>
      <c r="H313" s="8">
        <v>23</v>
      </c>
      <c r="I313" s="8">
        <v>5.4247532000000014</v>
      </c>
    </row>
    <row r="314" spans="1:9" x14ac:dyDescent="0.25">
      <c r="A314" s="8">
        <v>3498</v>
      </c>
      <c r="B314" s="8" t="s">
        <v>27</v>
      </c>
      <c r="C314" s="8">
        <v>1</v>
      </c>
      <c r="D314" s="8">
        <v>28</v>
      </c>
      <c r="E314" s="8">
        <v>24.619008399999998</v>
      </c>
      <c r="F314" s="8">
        <v>16.5</v>
      </c>
      <c r="G314" s="8">
        <v>39</v>
      </c>
      <c r="H314" s="8">
        <v>29</v>
      </c>
      <c r="I314" s="8">
        <v>3.3809916000000015</v>
      </c>
    </row>
    <row r="315" spans="1:9" x14ac:dyDescent="0.25">
      <c r="A315" s="8">
        <v>3607</v>
      </c>
      <c r="B315" s="8" t="s">
        <v>27</v>
      </c>
      <c r="C315" s="8">
        <v>1</v>
      </c>
      <c r="D315" s="8">
        <v>27</v>
      </c>
      <c r="E315" s="8">
        <v>24.6682402</v>
      </c>
      <c r="F315" s="8">
        <v>15</v>
      </c>
      <c r="G315" s="8">
        <v>37</v>
      </c>
      <c r="H315" s="8">
        <v>27</v>
      </c>
      <c r="I315" s="8">
        <v>2.3317598000000004</v>
      </c>
    </row>
    <row r="316" spans="1:9" x14ac:dyDescent="0.25">
      <c r="A316" s="8">
        <v>3267</v>
      </c>
      <c r="B316" s="8" t="s">
        <v>27</v>
      </c>
      <c r="C316" s="8">
        <v>1</v>
      </c>
      <c r="D316" s="8">
        <v>28.5</v>
      </c>
      <c r="E316" s="8">
        <v>24.861520600000002</v>
      </c>
      <c r="F316" s="8">
        <v>15.5</v>
      </c>
      <c r="G316" s="8">
        <v>38</v>
      </c>
      <c r="H316" s="8">
        <v>28</v>
      </c>
      <c r="I316" s="8">
        <v>3.6384793999999978</v>
      </c>
    </row>
    <row r="317" spans="1:9" x14ac:dyDescent="0.25">
      <c r="A317" s="8">
        <v>3096</v>
      </c>
      <c r="B317" s="8" t="s">
        <v>27</v>
      </c>
      <c r="C317" s="8">
        <v>1</v>
      </c>
      <c r="D317" s="8">
        <v>27.5</v>
      </c>
      <c r="E317" s="8">
        <v>24.8852248</v>
      </c>
      <c r="F317" s="8">
        <v>16</v>
      </c>
      <c r="G317" s="8">
        <v>36</v>
      </c>
      <c r="H317" s="8">
        <v>26</v>
      </c>
      <c r="I317" s="8">
        <v>2.6147752000000004</v>
      </c>
    </row>
    <row r="318" spans="1:9" x14ac:dyDescent="0.25">
      <c r="A318" s="8">
        <v>3610</v>
      </c>
      <c r="B318" s="8" t="s">
        <v>27</v>
      </c>
      <c r="C318" s="8">
        <v>1</v>
      </c>
      <c r="D318" s="8">
        <v>28.5</v>
      </c>
      <c r="E318" s="8">
        <v>24.921692799999999</v>
      </c>
      <c r="F318" s="8">
        <v>16.5</v>
      </c>
      <c r="G318" s="8">
        <v>34</v>
      </c>
      <c r="H318" s="8">
        <v>24</v>
      </c>
      <c r="I318" s="8">
        <v>3.5783072000000011</v>
      </c>
    </row>
    <row r="319" spans="1:9" x14ac:dyDescent="0.25">
      <c r="A319" s="8">
        <v>3049</v>
      </c>
      <c r="B319" s="8" t="s">
        <v>27</v>
      </c>
      <c r="C319" s="8">
        <v>1</v>
      </c>
      <c r="D319" s="8">
        <v>29.5</v>
      </c>
      <c r="E319" s="8">
        <v>25.0748584</v>
      </c>
      <c r="F319" s="8">
        <v>15</v>
      </c>
      <c r="G319" s="8">
        <v>34</v>
      </c>
      <c r="H319" s="8">
        <v>24</v>
      </c>
      <c r="I319" s="8">
        <v>4.4251415999999999</v>
      </c>
    </row>
    <row r="320" spans="1:9" x14ac:dyDescent="0.25">
      <c r="A320" s="8">
        <v>3141</v>
      </c>
      <c r="B320" s="8" t="s">
        <v>27</v>
      </c>
      <c r="C320" s="8">
        <v>1</v>
      </c>
      <c r="D320" s="8">
        <v>28.5</v>
      </c>
      <c r="E320" s="8">
        <v>25.129560400000003</v>
      </c>
      <c r="F320" s="8">
        <v>16.5</v>
      </c>
      <c r="G320" s="8">
        <v>41</v>
      </c>
      <c r="H320" s="8">
        <v>31</v>
      </c>
      <c r="I320" s="8">
        <v>3.3704395999999974</v>
      </c>
    </row>
    <row r="321" spans="1:9" x14ac:dyDescent="0.25">
      <c r="A321" s="8">
        <v>3478</v>
      </c>
      <c r="B321" s="8" t="s">
        <v>27</v>
      </c>
      <c r="C321" s="8">
        <v>1</v>
      </c>
      <c r="D321" s="8">
        <v>31</v>
      </c>
      <c r="E321" s="8">
        <v>25.145970999999999</v>
      </c>
      <c r="F321" s="8">
        <v>18.5</v>
      </c>
      <c r="G321" s="8">
        <v>36</v>
      </c>
      <c r="H321" s="8">
        <v>26</v>
      </c>
      <c r="I321" s="8">
        <v>5.8540290000000006</v>
      </c>
    </row>
    <row r="322" spans="1:9" x14ac:dyDescent="0.25">
      <c r="A322" s="8">
        <v>3362</v>
      </c>
      <c r="B322" s="8" t="s">
        <v>27</v>
      </c>
      <c r="C322" s="8">
        <v>1</v>
      </c>
      <c r="D322" s="8">
        <v>31</v>
      </c>
      <c r="E322" s="8">
        <v>25.202496399999998</v>
      </c>
      <c r="F322" s="8">
        <v>15</v>
      </c>
      <c r="G322" s="8">
        <v>35</v>
      </c>
      <c r="H322" s="8">
        <v>25</v>
      </c>
      <c r="I322" s="8">
        <v>5.7975036000000024</v>
      </c>
    </row>
    <row r="323" spans="1:9" x14ac:dyDescent="0.25">
      <c r="A323" s="8">
        <v>3260</v>
      </c>
      <c r="B323" s="8" t="s">
        <v>27</v>
      </c>
      <c r="C323" s="8">
        <v>1</v>
      </c>
      <c r="D323" s="8">
        <v>28.5</v>
      </c>
      <c r="E323" s="8">
        <v>25.229847400000001</v>
      </c>
      <c r="G323" s="8">
        <v>38</v>
      </c>
      <c r="H323" s="8">
        <v>28</v>
      </c>
      <c r="I323" s="8">
        <v>3.2701525999999994</v>
      </c>
    </row>
    <row r="324" spans="1:9" x14ac:dyDescent="0.25">
      <c r="A324" s="8">
        <v>3348</v>
      </c>
      <c r="B324" s="8" t="s">
        <v>27</v>
      </c>
      <c r="C324" s="8">
        <v>1</v>
      </c>
      <c r="D324" s="8">
        <v>27</v>
      </c>
      <c r="E324" s="8">
        <v>25.273609</v>
      </c>
      <c r="F324" s="8">
        <v>17</v>
      </c>
      <c r="G324" s="8">
        <v>38</v>
      </c>
      <c r="H324" s="8">
        <v>28</v>
      </c>
      <c r="I324" s="8">
        <v>1.7263909999999996</v>
      </c>
    </row>
    <row r="325" spans="1:9" x14ac:dyDescent="0.25">
      <c r="A325" s="8">
        <v>3289</v>
      </c>
      <c r="B325" s="8" t="s">
        <v>27</v>
      </c>
      <c r="C325" s="8">
        <v>1</v>
      </c>
      <c r="D325" s="8">
        <v>29.5</v>
      </c>
      <c r="E325" s="8">
        <v>25.383012999999998</v>
      </c>
      <c r="F325" s="8">
        <v>15.5</v>
      </c>
      <c r="G325" s="8">
        <v>33</v>
      </c>
      <c r="H325" s="8">
        <v>23</v>
      </c>
      <c r="I325" s="8">
        <v>4.1169870000000017</v>
      </c>
    </row>
    <row r="326" spans="1:9" x14ac:dyDescent="0.25">
      <c r="A326" s="8">
        <v>3305</v>
      </c>
      <c r="B326" s="8" t="s">
        <v>27</v>
      </c>
      <c r="C326" s="8">
        <v>1</v>
      </c>
      <c r="D326" s="8">
        <v>29</v>
      </c>
      <c r="E326" s="8">
        <v>25.439538399999996</v>
      </c>
      <c r="F326" s="8">
        <v>16</v>
      </c>
      <c r="G326" s="8">
        <v>34</v>
      </c>
      <c r="H326" s="8">
        <v>24</v>
      </c>
      <c r="I326" s="8">
        <v>3.5604616000000036</v>
      </c>
    </row>
    <row r="327" spans="1:9" x14ac:dyDescent="0.25">
      <c r="A327" s="8">
        <v>3186</v>
      </c>
      <c r="B327" s="8" t="s">
        <v>27</v>
      </c>
      <c r="C327" s="8">
        <v>1</v>
      </c>
      <c r="D327" s="8">
        <v>30.5</v>
      </c>
      <c r="E327" s="8">
        <v>25.454125599999998</v>
      </c>
      <c r="F327" s="8">
        <v>18.5</v>
      </c>
      <c r="G327" s="8">
        <v>40</v>
      </c>
      <c r="H327" s="8">
        <v>30</v>
      </c>
      <c r="I327" s="8">
        <v>5.0458744000000024</v>
      </c>
    </row>
    <row r="328" spans="1:9" x14ac:dyDescent="0.25">
      <c r="A328" s="8">
        <v>3301</v>
      </c>
      <c r="B328" s="8" t="s">
        <v>27</v>
      </c>
      <c r="C328" s="8">
        <v>1</v>
      </c>
      <c r="D328" s="8">
        <v>31</v>
      </c>
      <c r="E328" s="8">
        <v>25.689344199999997</v>
      </c>
      <c r="F328" s="8">
        <v>17.5</v>
      </c>
      <c r="G328" s="8">
        <v>29</v>
      </c>
      <c r="H328" s="8">
        <v>19</v>
      </c>
      <c r="I328" s="8">
        <v>5.3106558000000028</v>
      </c>
    </row>
    <row r="329" spans="1:9" x14ac:dyDescent="0.25">
      <c r="A329" s="8">
        <v>3353</v>
      </c>
      <c r="B329" s="8" t="s">
        <v>27</v>
      </c>
      <c r="C329" s="8">
        <v>1</v>
      </c>
      <c r="D329" s="8">
        <v>31</v>
      </c>
      <c r="E329" s="8">
        <v>25.696637800000001</v>
      </c>
      <c r="F329" s="8">
        <v>17.5</v>
      </c>
      <c r="G329" s="8">
        <v>38</v>
      </c>
      <c r="H329" s="8">
        <v>28</v>
      </c>
      <c r="I329" s="8">
        <v>5.3033621999999987</v>
      </c>
    </row>
    <row r="330" spans="1:9" x14ac:dyDescent="0.25">
      <c r="A330" s="8">
        <v>3210</v>
      </c>
      <c r="B330" s="8" t="s">
        <v>27</v>
      </c>
      <c r="C330" s="8">
        <v>1</v>
      </c>
      <c r="D330" s="8">
        <v>29.5</v>
      </c>
      <c r="E330" s="8">
        <v>25.778690799999996</v>
      </c>
      <c r="F330" s="8">
        <v>14.5</v>
      </c>
      <c r="G330" s="8">
        <v>34</v>
      </c>
      <c r="H330" s="8">
        <v>24</v>
      </c>
      <c r="I330" s="8">
        <v>3.7213092000000039</v>
      </c>
    </row>
    <row r="331" spans="1:9" x14ac:dyDescent="0.25">
      <c r="A331" s="8">
        <v>3069</v>
      </c>
      <c r="B331" s="8" t="s">
        <v>27</v>
      </c>
      <c r="C331" s="8">
        <v>1</v>
      </c>
      <c r="D331" s="8">
        <v>28.5</v>
      </c>
      <c r="E331" s="8">
        <v>25.7786908</v>
      </c>
      <c r="F331" s="8">
        <v>15</v>
      </c>
      <c r="G331" s="8">
        <v>36</v>
      </c>
      <c r="H331" s="8">
        <v>26</v>
      </c>
      <c r="I331" s="8">
        <v>2.7213092000000003</v>
      </c>
    </row>
    <row r="332" spans="1:9" x14ac:dyDescent="0.25">
      <c r="A332" s="8">
        <v>3392</v>
      </c>
      <c r="B332" s="8" t="s">
        <v>27</v>
      </c>
      <c r="C332" s="8">
        <v>1</v>
      </c>
      <c r="D332" s="8">
        <v>28.5</v>
      </c>
      <c r="E332" s="8">
        <v>25.8042184</v>
      </c>
      <c r="F332" s="8">
        <v>16</v>
      </c>
      <c r="G332" s="8">
        <v>36</v>
      </c>
      <c r="H332" s="8">
        <v>26</v>
      </c>
      <c r="I332" s="8">
        <v>2.6957816000000001</v>
      </c>
    </row>
    <row r="333" spans="1:9" x14ac:dyDescent="0.25">
      <c r="A333" s="8">
        <v>3479</v>
      </c>
      <c r="B333" s="8" t="s">
        <v>27</v>
      </c>
      <c r="C333" s="8">
        <v>1</v>
      </c>
      <c r="D333" s="8">
        <v>32</v>
      </c>
      <c r="E333" s="8">
        <v>25.940973399999997</v>
      </c>
      <c r="F333" s="8">
        <v>17</v>
      </c>
      <c r="G333" s="8">
        <v>37</v>
      </c>
      <c r="H333" s="8">
        <v>27</v>
      </c>
      <c r="I333" s="8">
        <v>6.0590266000000028</v>
      </c>
    </row>
    <row r="334" spans="1:9" x14ac:dyDescent="0.25">
      <c r="A334" s="8">
        <v>3379</v>
      </c>
      <c r="B334" s="8" t="s">
        <v>27</v>
      </c>
      <c r="C334" s="8">
        <v>1</v>
      </c>
      <c r="D334" s="8">
        <v>31</v>
      </c>
      <c r="E334" s="8">
        <v>25.9519138</v>
      </c>
      <c r="F334" s="8">
        <v>17</v>
      </c>
      <c r="G334" s="8">
        <v>39</v>
      </c>
      <c r="H334" s="8">
        <v>29</v>
      </c>
      <c r="I334" s="8">
        <v>5.0480862000000002</v>
      </c>
    </row>
    <row r="335" spans="1:9" x14ac:dyDescent="0.25">
      <c r="A335" s="8">
        <v>3028</v>
      </c>
      <c r="B335" s="8" t="s">
        <v>27</v>
      </c>
      <c r="C335" s="8">
        <v>1</v>
      </c>
      <c r="D335" s="8">
        <v>28</v>
      </c>
      <c r="E335" s="8">
        <v>25.990205199999998</v>
      </c>
      <c r="F335" s="8">
        <v>14</v>
      </c>
      <c r="G335" s="8">
        <v>29</v>
      </c>
      <c r="H335" s="8">
        <v>19</v>
      </c>
      <c r="I335" s="8">
        <v>2.0097948000000017</v>
      </c>
    </row>
    <row r="336" spans="1:9" x14ac:dyDescent="0.25">
      <c r="A336" s="8">
        <v>3336</v>
      </c>
      <c r="B336" s="8" t="s">
        <v>27</v>
      </c>
      <c r="C336" s="8">
        <v>1</v>
      </c>
      <c r="D336" s="8">
        <v>29</v>
      </c>
      <c r="E336" s="8">
        <v>26.0376136</v>
      </c>
      <c r="F336" s="8">
        <v>15.5</v>
      </c>
      <c r="G336" s="8">
        <v>34</v>
      </c>
      <c r="H336" s="8">
        <v>24</v>
      </c>
      <c r="I336" s="8">
        <v>2.9623863999999998</v>
      </c>
    </row>
    <row r="337" spans="1:9" x14ac:dyDescent="0.25">
      <c r="A337" s="8">
        <v>3268</v>
      </c>
      <c r="B337" s="8" t="s">
        <v>27</v>
      </c>
      <c r="C337" s="8">
        <v>1</v>
      </c>
      <c r="D337" s="8">
        <v>27.5</v>
      </c>
      <c r="E337" s="8">
        <v>26.094139000000002</v>
      </c>
      <c r="F337" s="8">
        <v>18</v>
      </c>
      <c r="G337" s="8">
        <v>36</v>
      </c>
      <c r="H337" s="8">
        <v>26</v>
      </c>
      <c r="I337" s="8">
        <v>1.405860999999998</v>
      </c>
    </row>
    <row r="338" spans="1:9" x14ac:dyDescent="0.25">
      <c r="A338" s="8">
        <v>3412</v>
      </c>
      <c r="B338" s="8" t="s">
        <v>27</v>
      </c>
      <c r="C338" s="8">
        <v>1</v>
      </c>
      <c r="D338" s="8">
        <v>30.5</v>
      </c>
      <c r="E338" s="8">
        <v>26.145194199999999</v>
      </c>
      <c r="F338" s="8">
        <v>18.5</v>
      </c>
      <c r="G338" s="8">
        <v>46</v>
      </c>
      <c r="H338" s="8">
        <v>36</v>
      </c>
      <c r="I338" s="8">
        <v>4.3548058000000012</v>
      </c>
    </row>
    <row r="339" spans="1:9" x14ac:dyDescent="0.25">
      <c r="A339" s="8">
        <v>3128</v>
      </c>
      <c r="B339" s="8" t="s">
        <v>27</v>
      </c>
      <c r="C339" s="8">
        <v>1</v>
      </c>
      <c r="D339" s="8">
        <v>31</v>
      </c>
      <c r="E339" s="8">
        <v>26.148841000000001</v>
      </c>
      <c r="F339" s="8">
        <v>15.5</v>
      </c>
      <c r="G339" s="8">
        <v>38</v>
      </c>
      <c r="H339" s="8">
        <v>28</v>
      </c>
      <c r="I339" s="8">
        <v>4.8511589999999991</v>
      </c>
    </row>
    <row r="340" spans="1:9" x14ac:dyDescent="0.25">
      <c r="A340" s="8">
        <v>3081</v>
      </c>
      <c r="B340" s="8" t="s">
        <v>27</v>
      </c>
      <c r="C340" s="8">
        <v>1</v>
      </c>
      <c r="D340" s="8">
        <v>29</v>
      </c>
      <c r="E340" s="8">
        <v>26.241834399999998</v>
      </c>
      <c r="F340" s="8">
        <v>16.5</v>
      </c>
      <c r="G340" s="8">
        <v>38</v>
      </c>
      <c r="H340" s="8">
        <v>28</v>
      </c>
      <c r="I340" s="8">
        <v>2.7581656000000017</v>
      </c>
    </row>
    <row r="341" spans="1:9" x14ac:dyDescent="0.25">
      <c r="A341" s="8">
        <v>3505</v>
      </c>
      <c r="B341" s="8" t="s">
        <v>27</v>
      </c>
      <c r="C341" s="8">
        <v>1</v>
      </c>
      <c r="D341" s="8">
        <v>30</v>
      </c>
      <c r="E341" s="8">
        <v>26.261891799999997</v>
      </c>
      <c r="F341" s="8">
        <v>14</v>
      </c>
      <c r="G341" s="8">
        <v>48</v>
      </c>
      <c r="H341" s="8">
        <v>38</v>
      </c>
      <c r="I341" s="8">
        <v>3.7381082000000028</v>
      </c>
    </row>
    <row r="342" spans="1:9" x14ac:dyDescent="0.25">
      <c r="A342" s="8">
        <v>3334</v>
      </c>
      <c r="B342" s="8" t="s">
        <v>27</v>
      </c>
      <c r="C342" s="8">
        <v>1</v>
      </c>
      <c r="D342" s="8">
        <v>31.5</v>
      </c>
      <c r="E342" s="8">
        <v>26.3257108</v>
      </c>
      <c r="F342" s="8">
        <v>17</v>
      </c>
      <c r="G342" s="8">
        <v>39</v>
      </c>
      <c r="H342" s="8">
        <v>29</v>
      </c>
      <c r="I342" s="8">
        <v>5.1742892000000005</v>
      </c>
    </row>
    <row r="343" spans="1:9" x14ac:dyDescent="0.25">
      <c r="A343" s="8">
        <v>3641</v>
      </c>
      <c r="B343" s="8" t="s">
        <v>27</v>
      </c>
      <c r="C343" s="8">
        <v>1</v>
      </c>
      <c r="D343" s="8">
        <v>30</v>
      </c>
      <c r="E343" s="8">
        <v>26.327534200000002</v>
      </c>
      <c r="F343" s="8">
        <v>13</v>
      </c>
      <c r="G343" s="8">
        <v>36</v>
      </c>
      <c r="H343" s="8">
        <v>26</v>
      </c>
      <c r="I343" s="8">
        <v>3.6724657999999977</v>
      </c>
    </row>
    <row r="344" spans="1:9" x14ac:dyDescent="0.25">
      <c r="A344" s="8">
        <v>3682</v>
      </c>
      <c r="B344" s="8" t="s">
        <v>27</v>
      </c>
      <c r="C344" s="8">
        <v>1</v>
      </c>
      <c r="D344" s="8">
        <v>29</v>
      </c>
      <c r="E344" s="8">
        <v>26.405940399999999</v>
      </c>
      <c r="F344" s="8">
        <v>15.5</v>
      </c>
      <c r="G344" s="8">
        <v>47</v>
      </c>
      <c r="H344" s="8">
        <v>37</v>
      </c>
      <c r="I344" s="8">
        <v>2.5940596000000014</v>
      </c>
    </row>
    <row r="345" spans="1:9" x14ac:dyDescent="0.25">
      <c r="A345" s="8">
        <v>3382</v>
      </c>
      <c r="B345" s="8" t="s">
        <v>27</v>
      </c>
      <c r="C345" s="8">
        <v>1</v>
      </c>
      <c r="D345" s="8">
        <v>32.5</v>
      </c>
      <c r="E345" s="8">
        <v>26.4551722</v>
      </c>
      <c r="F345" s="8">
        <v>15.5</v>
      </c>
      <c r="G345" s="8">
        <v>37</v>
      </c>
      <c r="H345" s="8">
        <v>27</v>
      </c>
      <c r="I345" s="8">
        <v>6.0448278000000002</v>
      </c>
    </row>
    <row r="346" spans="1:9" x14ac:dyDescent="0.25">
      <c r="A346" s="8">
        <v>3105</v>
      </c>
      <c r="B346" s="8" t="s">
        <v>27</v>
      </c>
      <c r="C346" s="8">
        <v>1</v>
      </c>
      <c r="D346" s="8">
        <v>31</v>
      </c>
      <c r="E346" s="8">
        <v>26.686744000000001</v>
      </c>
      <c r="F346" s="8">
        <v>15</v>
      </c>
      <c r="G346" s="8">
        <v>37</v>
      </c>
      <c r="H346" s="8">
        <v>27</v>
      </c>
      <c r="I346" s="8">
        <v>4.3132559999999991</v>
      </c>
    </row>
    <row r="347" spans="1:9" x14ac:dyDescent="0.25">
      <c r="A347" s="8">
        <v>3346</v>
      </c>
      <c r="B347" s="8" t="s">
        <v>27</v>
      </c>
      <c r="C347" s="8">
        <v>1</v>
      </c>
      <c r="D347" s="8">
        <v>31</v>
      </c>
      <c r="E347" s="8">
        <v>26.728682199999998</v>
      </c>
      <c r="F347" s="8">
        <v>17</v>
      </c>
      <c r="G347" s="8">
        <v>37</v>
      </c>
      <c r="H347" s="8">
        <v>27</v>
      </c>
      <c r="I347" s="8">
        <v>4.2713178000000021</v>
      </c>
    </row>
    <row r="348" spans="1:9" x14ac:dyDescent="0.25">
      <c r="A348" s="8">
        <v>3058</v>
      </c>
      <c r="B348" s="8" t="s">
        <v>27</v>
      </c>
      <c r="C348" s="8">
        <v>1</v>
      </c>
      <c r="D348" s="8">
        <v>34.5</v>
      </c>
      <c r="E348" s="8">
        <v>26.737799199999998</v>
      </c>
      <c r="F348" s="8">
        <v>17.5</v>
      </c>
      <c r="G348" s="8">
        <v>34</v>
      </c>
      <c r="H348" s="8">
        <v>24</v>
      </c>
      <c r="I348" s="8">
        <v>7.7622008000000022</v>
      </c>
    </row>
    <row r="349" spans="1:9" x14ac:dyDescent="0.25">
      <c r="A349" s="8">
        <v>3622</v>
      </c>
      <c r="B349" s="8" t="s">
        <v>27</v>
      </c>
      <c r="C349" s="8">
        <v>1</v>
      </c>
      <c r="D349" s="8">
        <v>28</v>
      </c>
      <c r="E349" s="8">
        <v>26.850849999999998</v>
      </c>
      <c r="F349" s="8">
        <v>14.5</v>
      </c>
      <c r="G349" s="8">
        <v>39</v>
      </c>
      <c r="H349" s="8">
        <v>29</v>
      </c>
      <c r="I349" s="8">
        <v>1.1491500000000023</v>
      </c>
    </row>
    <row r="350" spans="1:9" x14ac:dyDescent="0.25">
      <c r="A350" s="8">
        <v>3370</v>
      </c>
      <c r="B350" s="8" t="s">
        <v>27</v>
      </c>
      <c r="C350" s="8">
        <v>1</v>
      </c>
      <c r="D350" s="8">
        <v>29.5</v>
      </c>
      <c r="E350" s="8">
        <v>26.872730799999999</v>
      </c>
      <c r="F350" s="8">
        <v>13.5</v>
      </c>
      <c r="G350" s="8">
        <v>39</v>
      </c>
      <c r="H350" s="8">
        <v>29</v>
      </c>
      <c r="I350" s="8">
        <v>2.6272692000000006</v>
      </c>
    </row>
    <row r="351" spans="1:9" x14ac:dyDescent="0.25">
      <c r="A351" s="8">
        <v>3037</v>
      </c>
      <c r="B351" s="8" t="s">
        <v>27</v>
      </c>
      <c r="C351" s="8">
        <v>1</v>
      </c>
      <c r="D351" s="8">
        <v>30</v>
      </c>
      <c r="E351" s="8">
        <v>26.932903</v>
      </c>
      <c r="F351" s="8">
        <v>17</v>
      </c>
      <c r="G351" s="8">
        <v>30</v>
      </c>
      <c r="H351" s="8">
        <v>20</v>
      </c>
      <c r="I351" s="8">
        <v>3.0670970000000004</v>
      </c>
    </row>
    <row r="352" spans="1:9" x14ac:dyDescent="0.25">
      <c r="A352" s="8">
        <v>3354</v>
      </c>
      <c r="B352" s="8" t="s">
        <v>27</v>
      </c>
      <c r="C352" s="8">
        <v>1</v>
      </c>
      <c r="D352" s="8">
        <v>31.5</v>
      </c>
      <c r="E352" s="8">
        <v>27.040483599999998</v>
      </c>
      <c r="F352" s="8">
        <v>17</v>
      </c>
      <c r="G352" s="8">
        <v>34</v>
      </c>
      <c r="H352" s="8">
        <v>24</v>
      </c>
      <c r="I352" s="8">
        <v>4.4595164000000018</v>
      </c>
    </row>
    <row r="353" spans="1:9" x14ac:dyDescent="0.25">
      <c r="A353" s="8">
        <v>3517</v>
      </c>
      <c r="B353" s="8" t="s">
        <v>27</v>
      </c>
      <c r="C353" s="8">
        <v>1</v>
      </c>
      <c r="D353" s="8">
        <v>29.5</v>
      </c>
      <c r="E353" s="8">
        <v>27.230117199999999</v>
      </c>
      <c r="F353" s="8">
        <v>17</v>
      </c>
      <c r="G353" s="8">
        <v>42</v>
      </c>
      <c r="H353" s="8">
        <v>32</v>
      </c>
      <c r="I353" s="8">
        <v>2.2698828000000013</v>
      </c>
    </row>
    <row r="354" spans="1:9" x14ac:dyDescent="0.25">
      <c r="A354" s="8">
        <v>3137</v>
      </c>
      <c r="B354" s="8" t="s">
        <v>27</v>
      </c>
      <c r="C354" s="8">
        <v>1</v>
      </c>
      <c r="D354" s="8">
        <v>35</v>
      </c>
      <c r="E354" s="8">
        <v>27.352284999999998</v>
      </c>
      <c r="F354" s="8">
        <v>18.5</v>
      </c>
      <c r="G354" s="8">
        <v>37</v>
      </c>
      <c r="H354" s="8">
        <v>27</v>
      </c>
      <c r="I354" s="8">
        <v>7.6477150000000016</v>
      </c>
    </row>
    <row r="355" spans="1:9" x14ac:dyDescent="0.25">
      <c r="A355" s="8">
        <v>3389</v>
      </c>
      <c r="B355" s="8" t="s">
        <v>27</v>
      </c>
      <c r="C355" s="8">
        <v>1</v>
      </c>
      <c r="D355" s="8">
        <v>31.5</v>
      </c>
      <c r="E355" s="8">
        <v>27.425220999999997</v>
      </c>
      <c r="F355" s="8">
        <v>18</v>
      </c>
      <c r="G355" s="8">
        <v>37</v>
      </c>
      <c r="H355" s="8">
        <v>27</v>
      </c>
      <c r="I355" s="8">
        <v>4.074779000000003</v>
      </c>
    </row>
    <row r="356" spans="1:9" x14ac:dyDescent="0.25">
      <c r="A356" s="8">
        <v>3207</v>
      </c>
      <c r="B356" s="8" t="s">
        <v>27</v>
      </c>
      <c r="C356" s="8">
        <v>1</v>
      </c>
      <c r="D356" s="8">
        <v>36.5</v>
      </c>
      <c r="E356" s="8">
        <v>27.483569800000001</v>
      </c>
      <c r="F356" s="8">
        <v>15.5</v>
      </c>
      <c r="G356" s="8">
        <v>38</v>
      </c>
      <c r="H356" s="8">
        <v>28</v>
      </c>
      <c r="I356" s="8">
        <v>9.0164301999999985</v>
      </c>
    </row>
    <row r="357" spans="1:9" x14ac:dyDescent="0.25">
      <c r="A357" s="8">
        <v>3010</v>
      </c>
      <c r="B357" s="8" t="s">
        <v>27</v>
      </c>
      <c r="C357" s="8">
        <v>1</v>
      </c>
      <c r="D357" s="8">
        <v>29</v>
      </c>
      <c r="E357" s="8">
        <v>27.7042012</v>
      </c>
      <c r="F357" s="8">
        <v>17.5</v>
      </c>
      <c r="G357" s="8">
        <v>35</v>
      </c>
      <c r="H357" s="8">
        <v>25</v>
      </c>
      <c r="I357" s="8">
        <v>1.2957988</v>
      </c>
    </row>
    <row r="358" spans="1:9" x14ac:dyDescent="0.25">
      <c r="A358" s="8">
        <v>3077</v>
      </c>
      <c r="B358" s="8" t="s">
        <v>27</v>
      </c>
      <c r="C358" s="8">
        <v>1</v>
      </c>
      <c r="D358" s="8">
        <v>31</v>
      </c>
      <c r="E358" s="8">
        <v>27.7388458</v>
      </c>
      <c r="F358" s="8">
        <v>14.5</v>
      </c>
      <c r="G358" s="8">
        <v>34</v>
      </c>
      <c r="H358" s="8">
        <v>24</v>
      </c>
      <c r="I358" s="8">
        <v>3.2611542</v>
      </c>
    </row>
    <row r="359" spans="1:9" x14ac:dyDescent="0.25">
      <c r="A359" s="8">
        <v>3593</v>
      </c>
      <c r="B359" s="8" t="s">
        <v>27</v>
      </c>
      <c r="C359" s="8">
        <v>1</v>
      </c>
      <c r="D359" s="8">
        <v>33</v>
      </c>
      <c r="E359" s="8">
        <v>27.963123999999997</v>
      </c>
      <c r="F359" s="8">
        <v>14</v>
      </c>
      <c r="G359" s="8">
        <v>42</v>
      </c>
      <c r="H359" s="8">
        <v>32</v>
      </c>
      <c r="I359" s="8">
        <v>5.036876000000003</v>
      </c>
    </row>
    <row r="360" spans="1:9" x14ac:dyDescent="0.25">
      <c r="A360" s="8">
        <v>3043</v>
      </c>
      <c r="B360" s="8" t="s">
        <v>27</v>
      </c>
      <c r="C360" s="8">
        <v>1</v>
      </c>
      <c r="D360" s="8">
        <v>30.5</v>
      </c>
      <c r="E360" s="8">
        <v>27.983181399999999</v>
      </c>
      <c r="F360" s="8">
        <v>16.5</v>
      </c>
      <c r="G360" s="8">
        <v>38</v>
      </c>
      <c r="H360" s="8">
        <v>28</v>
      </c>
      <c r="I360" s="8">
        <v>2.5168186000000006</v>
      </c>
    </row>
    <row r="361" spans="1:9" x14ac:dyDescent="0.25">
      <c r="A361" s="8">
        <v>3016</v>
      </c>
      <c r="B361" s="8" t="s">
        <v>27</v>
      </c>
      <c r="C361" s="8">
        <v>1</v>
      </c>
      <c r="D361" s="8">
        <v>32</v>
      </c>
      <c r="E361" s="8">
        <v>28.045176999999999</v>
      </c>
      <c r="F361" s="8">
        <v>15.5</v>
      </c>
      <c r="G361" s="8">
        <v>36</v>
      </c>
      <c r="H361" s="8">
        <v>26</v>
      </c>
      <c r="I361" s="8">
        <v>3.9548230000000011</v>
      </c>
    </row>
    <row r="362" spans="1:9" x14ac:dyDescent="0.25">
      <c r="A362" s="8">
        <v>3344</v>
      </c>
      <c r="B362" s="8" t="s">
        <v>27</v>
      </c>
      <c r="C362" s="8">
        <v>1</v>
      </c>
      <c r="D362" s="8">
        <v>30</v>
      </c>
      <c r="E362" s="8">
        <v>28.101702400000001</v>
      </c>
      <c r="F362" s="8">
        <v>16.5</v>
      </c>
      <c r="G362" s="8">
        <v>35</v>
      </c>
      <c r="H362" s="8">
        <v>25</v>
      </c>
      <c r="I362" s="8">
        <v>1.8982975999999994</v>
      </c>
    </row>
    <row r="363" spans="1:9" x14ac:dyDescent="0.25">
      <c r="A363" s="8">
        <v>3638</v>
      </c>
      <c r="B363" s="8" t="s">
        <v>27</v>
      </c>
      <c r="C363" s="8">
        <v>1</v>
      </c>
      <c r="D363" s="8">
        <v>34</v>
      </c>
      <c r="E363" s="8">
        <v>28.125406599999998</v>
      </c>
      <c r="F363" s="8">
        <v>14</v>
      </c>
      <c r="G363" s="8">
        <v>39</v>
      </c>
      <c r="H363" s="8">
        <v>29</v>
      </c>
      <c r="I363" s="8">
        <v>5.874593400000002</v>
      </c>
    </row>
    <row r="364" spans="1:9" x14ac:dyDescent="0.25">
      <c r="A364" s="8">
        <v>3006</v>
      </c>
      <c r="B364" s="8" t="s">
        <v>27</v>
      </c>
      <c r="C364" s="8">
        <v>1</v>
      </c>
      <c r="D364" s="8">
        <v>34.5</v>
      </c>
      <c r="E364" s="8">
        <v>28.139993799999999</v>
      </c>
      <c r="F364" s="8">
        <v>15.5</v>
      </c>
      <c r="G364" s="8">
        <v>31</v>
      </c>
      <c r="H364" s="8">
        <v>21</v>
      </c>
      <c r="I364" s="8">
        <v>6.3600062000000008</v>
      </c>
    </row>
    <row r="365" spans="1:9" x14ac:dyDescent="0.25">
      <c r="A365" s="8">
        <v>3397</v>
      </c>
      <c r="B365" s="8" t="s">
        <v>27</v>
      </c>
      <c r="C365" s="8">
        <v>1</v>
      </c>
      <c r="D365" s="8">
        <v>32.5</v>
      </c>
      <c r="E365" s="8">
        <v>28.150934200000002</v>
      </c>
      <c r="F365" s="8">
        <v>17</v>
      </c>
      <c r="G365" s="8">
        <v>40</v>
      </c>
      <c r="H365" s="8">
        <v>30</v>
      </c>
      <c r="I365" s="8">
        <v>4.3490657999999982</v>
      </c>
    </row>
    <row r="366" spans="1:9" x14ac:dyDescent="0.25">
      <c r="A366" s="8">
        <v>3369</v>
      </c>
      <c r="B366" s="8" t="s">
        <v>27</v>
      </c>
      <c r="C366" s="8">
        <v>1</v>
      </c>
      <c r="D366" s="8">
        <v>33.5</v>
      </c>
      <c r="E366" s="8">
        <v>28.524731199999998</v>
      </c>
      <c r="F366" s="8">
        <v>16</v>
      </c>
      <c r="G366" s="8">
        <v>34</v>
      </c>
      <c r="H366" s="8">
        <v>24</v>
      </c>
      <c r="I366" s="8">
        <v>4.975268800000002</v>
      </c>
    </row>
    <row r="367" spans="1:9" x14ac:dyDescent="0.25">
      <c r="A367" s="8">
        <v>3023</v>
      </c>
      <c r="B367" s="8" t="s">
        <v>27</v>
      </c>
      <c r="C367" s="8">
        <v>1</v>
      </c>
      <c r="D367" s="8">
        <v>33</v>
      </c>
      <c r="E367" s="8">
        <v>28.716188199999998</v>
      </c>
      <c r="F367" s="8">
        <v>16.5</v>
      </c>
      <c r="G367" s="8">
        <v>37</v>
      </c>
      <c r="H367" s="8">
        <v>27</v>
      </c>
      <c r="I367" s="8">
        <v>4.2838118000000023</v>
      </c>
    </row>
    <row r="368" spans="1:9" x14ac:dyDescent="0.25">
      <c r="A368" s="8">
        <v>3374</v>
      </c>
      <c r="B368" s="8" t="s">
        <v>27</v>
      </c>
      <c r="C368" s="8">
        <v>1</v>
      </c>
      <c r="D368" s="8">
        <v>29.5</v>
      </c>
      <c r="E368" s="8">
        <v>28.736245599999997</v>
      </c>
      <c r="F368" s="8">
        <v>13</v>
      </c>
      <c r="G368" s="8">
        <v>35</v>
      </c>
      <c r="H368" s="8">
        <v>25</v>
      </c>
      <c r="I368" s="8">
        <v>0.76375440000000339</v>
      </c>
    </row>
    <row r="369" spans="1:9" x14ac:dyDescent="0.25">
      <c r="A369" s="8">
        <v>3417</v>
      </c>
      <c r="B369" s="8" t="s">
        <v>27</v>
      </c>
      <c r="C369" s="8">
        <v>1</v>
      </c>
      <c r="D369" s="8">
        <v>33</v>
      </c>
      <c r="E369" s="8">
        <v>28.854766599999998</v>
      </c>
      <c r="F369" s="8">
        <v>15.5</v>
      </c>
      <c r="G369" s="8">
        <v>41</v>
      </c>
      <c r="H369" s="8">
        <v>31</v>
      </c>
      <c r="I369" s="8">
        <v>4.1452334000000022</v>
      </c>
    </row>
    <row r="370" spans="1:9" x14ac:dyDescent="0.25">
      <c r="A370" s="8">
        <v>3021</v>
      </c>
      <c r="B370" s="8" t="s">
        <v>27</v>
      </c>
      <c r="C370" s="8">
        <v>1</v>
      </c>
      <c r="D370" s="8">
        <v>32</v>
      </c>
      <c r="E370" s="8">
        <v>29.009755600000002</v>
      </c>
      <c r="F370" s="8">
        <v>15</v>
      </c>
      <c r="G370" s="8">
        <v>30</v>
      </c>
      <c r="H370" s="8">
        <v>20</v>
      </c>
      <c r="I370" s="8">
        <v>2.9902443999999981</v>
      </c>
    </row>
    <row r="371" spans="1:9" x14ac:dyDescent="0.25">
      <c r="A371" s="8">
        <v>3424</v>
      </c>
      <c r="B371" s="8" t="s">
        <v>27</v>
      </c>
      <c r="C371" s="8">
        <v>1</v>
      </c>
      <c r="D371" s="8">
        <v>33</v>
      </c>
      <c r="E371" s="8">
        <v>29.378082399999997</v>
      </c>
      <c r="F371" s="8">
        <v>16.5</v>
      </c>
      <c r="G371" s="8">
        <v>44</v>
      </c>
      <c r="H371" s="8">
        <v>34</v>
      </c>
      <c r="I371" s="8">
        <v>3.6219176000000033</v>
      </c>
    </row>
    <row r="372" spans="1:9" x14ac:dyDescent="0.25">
      <c r="A372" s="8">
        <v>3038</v>
      </c>
      <c r="B372" s="8" t="s">
        <v>27</v>
      </c>
      <c r="C372" s="8">
        <v>1</v>
      </c>
      <c r="D372" s="8">
        <v>36</v>
      </c>
      <c r="E372" s="8">
        <v>29.3963164</v>
      </c>
      <c r="F372" s="8">
        <v>18.5</v>
      </c>
      <c r="G372" s="8">
        <v>35</v>
      </c>
      <c r="H372" s="8">
        <v>25</v>
      </c>
      <c r="I372" s="8">
        <v>6.6036836000000001</v>
      </c>
    </row>
    <row r="373" spans="1:9" x14ac:dyDescent="0.25">
      <c r="A373" s="8">
        <v>3681</v>
      </c>
      <c r="B373" s="8" t="s">
        <v>27</v>
      </c>
      <c r="C373" s="8">
        <v>1</v>
      </c>
      <c r="D373" s="8">
        <v>31.5</v>
      </c>
      <c r="E373" s="8">
        <v>29.516660799999997</v>
      </c>
      <c r="F373" s="8">
        <v>16</v>
      </c>
      <c r="G373" s="8">
        <v>46</v>
      </c>
      <c r="H373" s="8">
        <v>36</v>
      </c>
      <c r="I373" s="8">
        <v>1.9833392000000032</v>
      </c>
    </row>
    <row r="374" spans="1:9" x14ac:dyDescent="0.25">
      <c r="A374" s="8">
        <v>3191</v>
      </c>
      <c r="B374" s="8" t="s">
        <v>27</v>
      </c>
      <c r="C374" s="8">
        <v>1</v>
      </c>
      <c r="D374" s="8">
        <v>35</v>
      </c>
      <c r="E374" s="8">
        <v>29.5184842</v>
      </c>
      <c r="F374" s="8">
        <v>16</v>
      </c>
      <c r="G374" s="8">
        <v>45</v>
      </c>
      <c r="H374" s="8">
        <v>35</v>
      </c>
      <c r="I374" s="8">
        <v>5.4815158000000004</v>
      </c>
    </row>
    <row r="375" spans="1:9" x14ac:dyDescent="0.25">
      <c r="A375" s="8">
        <v>3070</v>
      </c>
      <c r="B375" s="8" t="s">
        <v>27</v>
      </c>
      <c r="C375" s="8">
        <v>1</v>
      </c>
      <c r="D375" s="8">
        <v>34.5</v>
      </c>
      <c r="E375" s="8">
        <v>29.523954400000001</v>
      </c>
      <c r="F375" s="8">
        <v>16.5</v>
      </c>
      <c r="G375" s="8">
        <v>37</v>
      </c>
      <c r="H375" s="8">
        <v>27</v>
      </c>
      <c r="I375" s="8">
        <v>4.9760455999999991</v>
      </c>
    </row>
    <row r="376" spans="1:9" x14ac:dyDescent="0.25">
      <c r="A376" s="8">
        <v>3012</v>
      </c>
      <c r="B376" s="8" t="s">
        <v>27</v>
      </c>
      <c r="C376" s="8">
        <v>1</v>
      </c>
      <c r="D376" s="8">
        <v>31</v>
      </c>
      <c r="E376" s="8">
        <v>29.746409200000002</v>
      </c>
      <c r="F376" s="8">
        <v>16</v>
      </c>
      <c r="G376" s="8">
        <v>37</v>
      </c>
      <c r="H376" s="8">
        <v>27</v>
      </c>
      <c r="I376" s="8">
        <v>1.2535907999999978</v>
      </c>
    </row>
    <row r="377" spans="1:9" x14ac:dyDescent="0.25">
      <c r="A377" s="8">
        <v>3603</v>
      </c>
      <c r="B377" s="8" t="s">
        <v>27</v>
      </c>
      <c r="C377" s="8">
        <v>1</v>
      </c>
      <c r="D377" s="8">
        <v>33.5</v>
      </c>
      <c r="E377" s="8">
        <v>29.981627799999998</v>
      </c>
      <c r="F377" s="8">
        <v>16.5</v>
      </c>
      <c r="G377" s="8">
        <v>38</v>
      </c>
      <c r="H377" s="8">
        <v>28</v>
      </c>
      <c r="I377" s="8">
        <v>3.5183722000000017</v>
      </c>
    </row>
    <row r="378" spans="1:9" x14ac:dyDescent="0.25">
      <c r="A378" s="8">
        <v>3440</v>
      </c>
      <c r="B378" s="8" t="s">
        <v>27</v>
      </c>
      <c r="C378" s="8">
        <v>1</v>
      </c>
      <c r="D378" s="8">
        <v>36.5</v>
      </c>
      <c r="E378" s="8">
        <v>30.003508599999996</v>
      </c>
      <c r="F378" s="8">
        <v>16.5</v>
      </c>
      <c r="G378" s="8">
        <v>36</v>
      </c>
      <c r="H378" s="8">
        <v>26</v>
      </c>
      <c r="I378" s="8">
        <v>6.4964914000000036</v>
      </c>
    </row>
    <row r="379" spans="1:9" x14ac:dyDescent="0.25">
      <c r="A379" s="8">
        <v>3303</v>
      </c>
      <c r="B379" s="8" t="s">
        <v>27</v>
      </c>
      <c r="C379" s="8">
        <v>1</v>
      </c>
      <c r="D379" s="8">
        <v>33</v>
      </c>
      <c r="E379" s="8">
        <v>30.032683000000002</v>
      </c>
      <c r="F379" s="8">
        <v>17</v>
      </c>
      <c r="G379" s="8">
        <v>35</v>
      </c>
      <c r="H379" s="8">
        <v>25</v>
      </c>
      <c r="I379" s="8">
        <v>2.9673169999999978</v>
      </c>
    </row>
    <row r="380" spans="1:9" x14ac:dyDescent="0.25">
      <c r="A380" s="8">
        <v>3057</v>
      </c>
      <c r="B380" s="8" t="s">
        <v>27</v>
      </c>
      <c r="C380" s="8">
        <v>1</v>
      </c>
      <c r="D380" s="8">
        <v>35.5</v>
      </c>
      <c r="E380" s="8">
        <v>30.335367400000003</v>
      </c>
      <c r="F380" s="8">
        <v>17.5</v>
      </c>
      <c r="G380" s="8">
        <v>32</v>
      </c>
      <c r="H380" s="8">
        <v>22</v>
      </c>
      <c r="I380" s="8">
        <v>5.1646325999999974</v>
      </c>
    </row>
    <row r="381" spans="1:9" x14ac:dyDescent="0.25">
      <c r="A381" s="8">
        <v>3119</v>
      </c>
      <c r="B381" s="8" t="s">
        <v>27</v>
      </c>
      <c r="C381" s="8">
        <v>1</v>
      </c>
      <c r="D381" s="8">
        <v>33.5</v>
      </c>
      <c r="E381" s="8">
        <v>30.483062799999999</v>
      </c>
      <c r="F381" s="8">
        <v>16.5</v>
      </c>
      <c r="G381" s="8">
        <v>27</v>
      </c>
      <c r="H381" s="8">
        <v>17</v>
      </c>
      <c r="I381" s="8">
        <v>3.016937200000001</v>
      </c>
    </row>
    <row r="382" spans="1:9" x14ac:dyDescent="0.25">
      <c r="A382" s="8">
        <v>3281</v>
      </c>
      <c r="B382" s="8" t="s">
        <v>27</v>
      </c>
      <c r="C382" s="8">
        <v>1</v>
      </c>
      <c r="D382" s="8">
        <v>36</v>
      </c>
      <c r="E382" s="8">
        <v>30.585173200000003</v>
      </c>
      <c r="F382" s="8">
        <v>17</v>
      </c>
      <c r="G382" s="8">
        <v>36</v>
      </c>
      <c r="H382" s="8">
        <v>26</v>
      </c>
      <c r="I382" s="8">
        <v>5.4148267999999966</v>
      </c>
    </row>
    <row r="383" spans="1:9" x14ac:dyDescent="0.25">
      <c r="A383" s="8">
        <v>3430</v>
      </c>
      <c r="B383" s="8" t="s">
        <v>27</v>
      </c>
      <c r="C383" s="8">
        <v>1</v>
      </c>
      <c r="D383" s="8">
        <v>32</v>
      </c>
      <c r="E383" s="8">
        <v>30.6107008</v>
      </c>
      <c r="F383" s="8">
        <v>16.5</v>
      </c>
      <c r="G383" s="8">
        <v>44</v>
      </c>
      <c r="H383" s="8">
        <v>34</v>
      </c>
      <c r="I383" s="8">
        <v>1.3892992</v>
      </c>
    </row>
    <row r="384" spans="1:9" x14ac:dyDescent="0.25">
      <c r="A384" s="8">
        <v>3292</v>
      </c>
      <c r="B384" s="8" t="s">
        <v>27</v>
      </c>
      <c r="C384" s="8">
        <v>1</v>
      </c>
      <c r="D384" s="8">
        <v>34.5</v>
      </c>
      <c r="E384" s="8">
        <v>30.847742799999999</v>
      </c>
      <c r="F384" s="8">
        <v>14.5</v>
      </c>
      <c r="G384" s="8">
        <v>36</v>
      </c>
      <c r="H384" s="8">
        <v>26</v>
      </c>
      <c r="I384" s="8">
        <v>3.6522572000000011</v>
      </c>
    </row>
    <row r="385" spans="1:9" x14ac:dyDescent="0.25">
      <c r="A385" s="8">
        <v>3525</v>
      </c>
      <c r="B385" s="8" t="s">
        <v>27</v>
      </c>
      <c r="C385" s="8">
        <v>1</v>
      </c>
      <c r="D385" s="8">
        <v>37.5</v>
      </c>
      <c r="E385" s="8">
        <v>30.884210799999998</v>
      </c>
      <c r="F385" s="8">
        <v>20</v>
      </c>
      <c r="G385" s="8">
        <v>36</v>
      </c>
      <c r="H385" s="8">
        <v>26</v>
      </c>
      <c r="I385" s="8">
        <v>6.6157892000000018</v>
      </c>
    </row>
    <row r="386" spans="1:9" x14ac:dyDescent="0.25">
      <c r="A386" s="8">
        <v>3155</v>
      </c>
      <c r="B386" s="8" t="s">
        <v>27</v>
      </c>
      <c r="C386" s="8">
        <v>1</v>
      </c>
      <c r="D386" s="8">
        <v>32.5</v>
      </c>
      <c r="E386" s="8">
        <v>31.237950399999999</v>
      </c>
      <c r="F386" s="8">
        <v>17</v>
      </c>
      <c r="G386" s="8">
        <v>41</v>
      </c>
      <c r="H386" s="8">
        <v>31</v>
      </c>
      <c r="I386" s="8">
        <v>1.262049600000001</v>
      </c>
    </row>
    <row r="387" spans="1:9" x14ac:dyDescent="0.25">
      <c r="A387" s="8">
        <v>3443</v>
      </c>
      <c r="B387" s="8" t="s">
        <v>27</v>
      </c>
      <c r="C387" s="8">
        <v>1</v>
      </c>
      <c r="D387" s="8">
        <v>36</v>
      </c>
      <c r="E387" s="8">
        <v>31.241597200000005</v>
      </c>
      <c r="F387" s="8">
        <v>15.5</v>
      </c>
      <c r="G387" s="8">
        <v>35</v>
      </c>
      <c r="H387" s="8">
        <v>25</v>
      </c>
      <c r="I387" s="8">
        <v>4.7584027999999954</v>
      </c>
    </row>
    <row r="388" spans="1:9" x14ac:dyDescent="0.25">
      <c r="A388" s="8">
        <v>3190</v>
      </c>
      <c r="B388" s="8" t="s">
        <v>27</v>
      </c>
      <c r="C388" s="8">
        <v>1</v>
      </c>
      <c r="D388" s="8">
        <v>35</v>
      </c>
      <c r="E388" s="8">
        <v>31.407526599999994</v>
      </c>
      <c r="F388" s="8">
        <v>19.5</v>
      </c>
      <c r="G388" s="8">
        <v>40</v>
      </c>
      <c r="H388" s="8">
        <v>30</v>
      </c>
      <c r="I388" s="8">
        <v>3.5924734000000065</v>
      </c>
    </row>
    <row r="389" spans="1:9" x14ac:dyDescent="0.25">
      <c r="A389" s="8">
        <v>3459</v>
      </c>
      <c r="B389" s="8" t="s">
        <v>27</v>
      </c>
      <c r="C389" s="8">
        <v>1</v>
      </c>
      <c r="D389" s="8">
        <v>37</v>
      </c>
      <c r="E389" s="8">
        <v>31.770383200000001</v>
      </c>
      <c r="F389" s="8">
        <v>16</v>
      </c>
      <c r="G389" s="8">
        <v>38</v>
      </c>
      <c r="H389" s="8">
        <v>28</v>
      </c>
      <c r="I389" s="8">
        <v>5.2296167999999987</v>
      </c>
    </row>
    <row r="390" spans="1:9" x14ac:dyDescent="0.25">
      <c r="A390" s="8">
        <v>3062</v>
      </c>
      <c r="B390" s="8" t="s">
        <v>27</v>
      </c>
      <c r="C390" s="8">
        <v>1</v>
      </c>
      <c r="D390" s="8">
        <v>35.5</v>
      </c>
      <c r="E390" s="8">
        <v>32.465098599999997</v>
      </c>
      <c r="F390" s="8">
        <v>14</v>
      </c>
      <c r="G390" s="8">
        <v>36</v>
      </c>
      <c r="H390" s="8">
        <v>26</v>
      </c>
      <c r="I390" s="8">
        <v>3.0349014000000025</v>
      </c>
    </row>
    <row r="391" spans="1:9" x14ac:dyDescent="0.25">
      <c r="A391" s="8">
        <v>3100</v>
      </c>
      <c r="B391" s="8" t="s">
        <v>27</v>
      </c>
      <c r="C391" s="8">
        <v>1</v>
      </c>
      <c r="D391" s="8">
        <v>37</v>
      </c>
      <c r="E391" s="8">
        <v>32.645615199999995</v>
      </c>
      <c r="F391" s="8">
        <v>17</v>
      </c>
      <c r="G391" s="8">
        <v>36</v>
      </c>
      <c r="H391" s="8">
        <v>26</v>
      </c>
      <c r="I391" s="8">
        <v>4.3543848000000054</v>
      </c>
    </row>
    <row r="392" spans="1:9" x14ac:dyDescent="0.25">
      <c r="A392" s="8">
        <v>3065</v>
      </c>
      <c r="B392" s="8" t="s">
        <v>27</v>
      </c>
      <c r="C392" s="8">
        <v>1</v>
      </c>
      <c r="D392" s="8">
        <v>38</v>
      </c>
      <c r="E392" s="8">
        <v>32.824308399999993</v>
      </c>
      <c r="F392" s="8">
        <v>16.5</v>
      </c>
      <c r="G392" s="8">
        <v>33</v>
      </c>
      <c r="H392" s="8">
        <v>23</v>
      </c>
      <c r="I392" s="8">
        <v>5.1756916000000075</v>
      </c>
    </row>
    <row r="393" spans="1:9" x14ac:dyDescent="0.25">
      <c r="A393" s="8">
        <v>3600</v>
      </c>
      <c r="B393" s="8" t="s">
        <v>27</v>
      </c>
      <c r="C393" s="8">
        <v>1</v>
      </c>
      <c r="D393" s="8">
        <v>40.5</v>
      </c>
      <c r="E393" s="8">
        <v>32.93371239999999</v>
      </c>
      <c r="F393" s="8">
        <v>14.5</v>
      </c>
      <c r="G393" s="8">
        <v>43</v>
      </c>
      <c r="H393" s="8">
        <v>33</v>
      </c>
      <c r="I393" s="8">
        <v>7.5662876000000097</v>
      </c>
    </row>
    <row r="394" spans="1:9" x14ac:dyDescent="0.25">
      <c r="A394" s="8">
        <v>3429</v>
      </c>
      <c r="B394" s="8" t="s">
        <v>27</v>
      </c>
      <c r="C394" s="8">
        <v>1</v>
      </c>
      <c r="D394" s="8">
        <v>36.5</v>
      </c>
      <c r="E394" s="8">
        <v>33.068643999999999</v>
      </c>
      <c r="F394" s="8">
        <v>16</v>
      </c>
      <c r="G394" s="8">
        <v>48</v>
      </c>
      <c r="H394" s="8">
        <v>38</v>
      </c>
      <c r="I394" s="8">
        <v>3.431356000000001</v>
      </c>
    </row>
    <row r="395" spans="1:9" x14ac:dyDescent="0.25">
      <c r="A395" s="8">
        <v>3470</v>
      </c>
      <c r="B395" s="8" t="s">
        <v>27</v>
      </c>
      <c r="C395" s="8">
        <v>1</v>
      </c>
      <c r="D395" s="8">
        <v>39</v>
      </c>
      <c r="E395" s="8">
        <v>34.489072599999993</v>
      </c>
      <c r="F395" s="8">
        <v>16.5</v>
      </c>
      <c r="G395" s="8">
        <v>35</v>
      </c>
      <c r="H395" s="8">
        <v>25</v>
      </c>
      <c r="I395" s="8">
        <v>4.510927400000007</v>
      </c>
    </row>
    <row r="396" spans="1:9" x14ac:dyDescent="0.25">
      <c r="A396" s="8">
        <v>3109</v>
      </c>
      <c r="B396" s="8" t="s">
        <v>27</v>
      </c>
      <c r="C396" s="8">
        <v>1</v>
      </c>
      <c r="D396" s="8">
        <v>41</v>
      </c>
      <c r="E396" s="8">
        <v>34.631297799999992</v>
      </c>
      <c r="F396" s="8">
        <v>16.5</v>
      </c>
      <c r="G396" s="8">
        <v>36</v>
      </c>
      <c r="H396" s="8">
        <v>26</v>
      </c>
      <c r="I396" s="8">
        <v>6.3687022000000084</v>
      </c>
    </row>
    <row r="397" spans="1:9" x14ac:dyDescent="0.25">
      <c r="A397" s="8">
        <v>3381</v>
      </c>
      <c r="B397" s="8" t="s">
        <v>27</v>
      </c>
      <c r="C397" s="8">
        <v>1</v>
      </c>
      <c r="D397" s="8">
        <v>38</v>
      </c>
      <c r="E397" s="8">
        <v>35.081677599999992</v>
      </c>
      <c r="F397" s="8">
        <v>15</v>
      </c>
      <c r="G397" s="8">
        <v>35</v>
      </c>
      <c r="H397" s="8">
        <v>25</v>
      </c>
      <c r="I397" s="8">
        <v>2.9183224000000081</v>
      </c>
    </row>
    <row r="398" spans="1:9" x14ac:dyDescent="0.25">
      <c r="A398" s="8">
        <v>3364</v>
      </c>
      <c r="B398" s="8" t="s">
        <v>27</v>
      </c>
      <c r="C398" s="8">
        <v>1</v>
      </c>
      <c r="D398" s="8">
        <v>40</v>
      </c>
      <c r="E398" s="8">
        <v>35.499236199999991</v>
      </c>
      <c r="F398" s="8">
        <v>19</v>
      </c>
      <c r="G398" s="8">
        <v>35</v>
      </c>
      <c r="H398" s="8">
        <v>25</v>
      </c>
      <c r="I398" s="8">
        <v>4.5007638000000085</v>
      </c>
    </row>
    <row r="399" spans="1:9" x14ac:dyDescent="0.25">
      <c r="A399" s="8">
        <v>3591</v>
      </c>
      <c r="B399" s="8" t="s">
        <v>27</v>
      </c>
      <c r="C399" s="8">
        <v>1</v>
      </c>
      <c r="D399" s="8">
        <v>40</v>
      </c>
      <c r="E399" s="8">
        <v>36.064490199999995</v>
      </c>
      <c r="F399" s="8">
        <v>16</v>
      </c>
      <c r="G399" s="8">
        <v>45</v>
      </c>
      <c r="H399" s="8">
        <v>35</v>
      </c>
      <c r="I399" s="8">
        <v>3.9355098000000055</v>
      </c>
    </row>
    <row r="400" spans="1:9" x14ac:dyDescent="0.25">
      <c r="A400" s="8">
        <v>3433</v>
      </c>
      <c r="B400" s="8" t="s">
        <v>27</v>
      </c>
      <c r="C400" s="8">
        <v>1</v>
      </c>
      <c r="D400" s="8">
        <v>38.5</v>
      </c>
      <c r="E400" s="8">
        <v>36.206715399999993</v>
      </c>
      <c r="F400" s="8">
        <v>18</v>
      </c>
      <c r="G400" s="8">
        <v>41</v>
      </c>
      <c r="H400" s="8">
        <v>31</v>
      </c>
      <c r="I400" s="8">
        <v>2.2932846000000069</v>
      </c>
    </row>
    <row r="401" spans="1:9" x14ac:dyDescent="0.25">
      <c r="A401" s="8">
        <v>3202</v>
      </c>
      <c r="B401" s="8" t="s">
        <v>27</v>
      </c>
      <c r="C401" s="8">
        <v>1</v>
      </c>
      <c r="D401" s="8">
        <v>46</v>
      </c>
      <c r="E401" s="8">
        <v>40.486235199999996</v>
      </c>
      <c r="F401" s="8">
        <v>17</v>
      </c>
      <c r="G401" s="8">
        <v>41</v>
      </c>
      <c r="H401" s="8">
        <v>31</v>
      </c>
      <c r="I401" s="8">
        <v>5.5137648000000041</v>
      </c>
    </row>
    <row r="402" spans="1:9" x14ac:dyDescent="0.25">
      <c r="A402" s="8">
        <v>6807</v>
      </c>
      <c r="B402" s="8" t="s">
        <v>27</v>
      </c>
      <c r="C402" s="8">
        <v>0</v>
      </c>
      <c r="D402" s="8">
        <v>2.5</v>
      </c>
      <c r="F402" s="8">
        <v>2.4</v>
      </c>
    </row>
    <row r="403" spans="1:9" x14ac:dyDescent="0.25">
      <c r="A403" s="8">
        <v>3598</v>
      </c>
      <c r="B403" s="8" t="s">
        <v>27</v>
      </c>
      <c r="C403" s="8">
        <v>0</v>
      </c>
      <c r="D403" s="8">
        <v>23.5</v>
      </c>
      <c r="F403" s="8">
        <v>7.8</v>
      </c>
    </row>
    <row r="404" spans="1:9" x14ac:dyDescent="0.25">
      <c r="A404" s="8">
        <v>3556</v>
      </c>
      <c r="B404" s="8" t="s">
        <v>27</v>
      </c>
      <c r="C404" s="8">
        <v>0</v>
      </c>
      <c r="D404" s="8">
        <v>5</v>
      </c>
      <c r="F404" s="8">
        <v>4.6188021535170058</v>
      </c>
    </row>
    <row r="405" spans="1:9" x14ac:dyDescent="0.25">
      <c r="A405" s="8">
        <v>3376</v>
      </c>
      <c r="B405" s="8" t="s">
        <v>27</v>
      </c>
      <c r="C405" s="8">
        <v>0</v>
      </c>
      <c r="D405" s="8">
        <v>3.5</v>
      </c>
      <c r="F405" s="8">
        <v>2.6917180690662161</v>
      </c>
    </row>
    <row r="406" spans="1:9" x14ac:dyDescent="0.25">
      <c r="A406" s="8">
        <v>3042</v>
      </c>
      <c r="B406" s="8" t="s">
        <v>27</v>
      </c>
      <c r="C406" s="8">
        <v>0</v>
      </c>
      <c r="D406" s="8">
        <v>2.5</v>
      </c>
      <c r="F406" s="8">
        <v>2.2000000000000002</v>
      </c>
    </row>
    <row r="407" spans="1:9" x14ac:dyDescent="0.25">
      <c r="A407" s="8">
        <v>3116</v>
      </c>
      <c r="B407" s="8" t="s">
        <v>27</v>
      </c>
      <c r="C407" s="8">
        <v>0</v>
      </c>
      <c r="D407" s="8">
        <v>2.5</v>
      </c>
      <c r="F407" s="8">
        <v>3</v>
      </c>
    </row>
    <row r="408" spans="1:9" x14ac:dyDescent="0.25">
      <c r="A408" s="8">
        <v>3500</v>
      </c>
      <c r="B408" s="8" t="s">
        <v>27</v>
      </c>
      <c r="C408" s="8">
        <v>0</v>
      </c>
      <c r="D408" s="8">
        <v>2.5</v>
      </c>
      <c r="F408" s="8">
        <v>2.5</v>
      </c>
    </row>
    <row r="409" spans="1:9" x14ac:dyDescent="0.25">
      <c r="A409" s="8">
        <v>3515</v>
      </c>
      <c r="B409" s="8" t="s">
        <v>27</v>
      </c>
      <c r="C409" s="8">
        <v>0</v>
      </c>
      <c r="D409" s="8">
        <v>2.5</v>
      </c>
      <c r="F409" s="8">
        <v>2.5</v>
      </c>
    </row>
    <row r="410" spans="1:9" x14ac:dyDescent="0.25">
      <c r="A410" s="8">
        <v>3577</v>
      </c>
      <c r="B410" s="8" t="s">
        <v>27</v>
      </c>
      <c r="C410" s="8">
        <v>0</v>
      </c>
      <c r="D410" s="8">
        <v>2.5</v>
      </c>
      <c r="F410" s="8">
        <v>2</v>
      </c>
    </row>
    <row r="411" spans="1:9" x14ac:dyDescent="0.25">
      <c r="A411" s="8">
        <v>3581</v>
      </c>
      <c r="B411" s="8" t="s">
        <v>27</v>
      </c>
      <c r="C411" s="8">
        <v>0</v>
      </c>
      <c r="D411" s="8">
        <v>2.5</v>
      </c>
      <c r="F411" s="8">
        <v>3</v>
      </c>
    </row>
    <row r="412" spans="1:9" x14ac:dyDescent="0.25">
      <c r="A412" s="8">
        <v>3115</v>
      </c>
      <c r="B412" s="8" t="s">
        <v>27</v>
      </c>
      <c r="C412" s="8">
        <v>0</v>
      </c>
      <c r="D412" s="8">
        <v>3</v>
      </c>
      <c r="F412" s="8">
        <v>3.5</v>
      </c>
    </row>
    <row r="413" spans="1:9" x14ac:dyDescent="0.25">
      <c r="A413" s="8">
        <v>3491</v>
      </c>
      <c r="B413" s="8" t="s">
        <v>27</v>
      </c>
      <c r="C413" s="8">
        <v>0</v>
      </c>
      <c r="D413" s="8">
        <v>3</v>
      </c>
      <c r="F413" s="8">
        <v>1.7</v>
      </c>
    </row>
    <row r="414" spans="1:9" x14ac:dyDescent="0.25">
      <c r="A414" s="8">
        <v>3656</v>
      </c>
      <c r="B414" s="8" t="s">
        <v>27</v>
      </c>
      <c r="C414" s="8">
        <v>0</v>
      </c>
      <c r="D414" s="8">
        <v>3</v>
      </c>
      <c r="F414" s="8">
        <v>4</v>
      </c>
    </row>
    <row r="415" spans="1:9" x14ac:dyDescent="0.25">
      <c r="A415" s="8">
        <v>3658</v>
      </c>
      <c r="B415" s="8" t="s">
        <v>27</v>
      </c>
      <c r="C415" s="8">
        <v>0</v>
      </c>
      <c r="D415" s="8">
        <v>3</v>
      </c>
      <c r="F415" s="8">
        <v>2.2999999999999998</v>
      </c>
    </row>
    <row r="416" spans="1:9" x14ac:dyDescent="0.25">
      <c r="A416" s="8">
        <v>3509</v>
      </c>
      <c r="B416" s="8" t="s">
        <v>27</v>
      </c>
      <c r="C416" s="8">
        <v>0</v>
      </c>
      <c r="D416" s="8">
        <v>3.5</v>
      </c>
      <c r="F416" s="8">
        <v>4</v>
      </c>
    </row>
    <row r="417" spans="1:6" x14ac:dyDescent="0.25">
      <c r="A417" s="8">
        <v>3258</v>
      </c>
      <c r="B417" s="8" t="s">
        <v>27</v>
      </c>
      <c r="C417" s="8">
        <v>0</v>
      </c>
      <c r="D417" s="8">
        <v>4</v>
      </c>
      <c r="F417" s="8">
        <v>3.5</v>
      </c>
    </row>
    <row r="418" spans="1:6" x14ac:dyDescent="0.25">
      <c r="A418" s="8">
        <v>3264</v>
      </c>
      <c r="B418" s="8" t="s">
        <v>27</v>
      </c>
      <c r="C418" s="8">
        <v>0</v>
      </c>
      <c r="D418" s="8">
        <v>4</v>
      </c>
      <c r="F418" s="8">
        <v>3.5</v>
      </c>
    </row>
    <row r="419" spans="1:6" x14ac:dyDescent="0.25">
      <c r="A419" s="8">
        <v>3502</v>
      </c>
      <c r="B419" s="8" t="s">
        <v>27</v>
      </c>
      <c r="C419" s="8">
        <v>0</v>
      </c>
      <c r="D419" s="8">
        <v>4</v>
      </c>
      <c r="F419" s="8">
        <v>4</v>
      </c>
    </row>
    <row r="420" spans="1:6" x14ac:dyDescent="0.25">
      <c r="A420" s="8">
        <v>3536</v>
      </c>
      <c r="B420" s="8" t="s">
        <v>27</v>
      </c>
      <c r="C420" s="8">
        <v>0</v>
      </c>
      <c r="D420" s="8">
        <v>4</v>
      </c>
      <c r="F420" s="8">
        <v>6</v>
      </c>
    </row>
    <row r="421" spans="1:6" x14ac:dyDescent="0.25">
      <c r="A421" s="8">
        <v>3689</v>
      </c>
      <c r="B421" s="8" t="s">
        <v>27</v>
      </c>
      <c r="C421" s="8">
        <v>0</v>
      </c>
      <c r="D421" s="8">
        <v>4</v>
      </c>
      <c r="F421" s="8">
        <v>5</v>
      </c>
    </row>
    <row r="422" spans="1:6" x14ac:dyDescent="0.25">
      <c r="A422" s="8">
        <v>3254</v>
      </c>
      <c r="B422" s="8" t="s">
        <v>27</v>
      </c>
      <c r="C422" s="8">
        <v>0</v>
      </c>
      <c r="D422" s="8">
        <v>4.5</v>
      </c>
      <c r="F422" s="8">
        <v>4.5</v>
      </c>
    </row>
    <row r="423" spans="1:6" x14ac:dyDescent="0.25">
      <c r="A423" s="8">
        <v>3494</v>
      </c>
      <c r="B423" s="8" t="s">
        <v>27</v>
      </c>
      <c r="C423" s="8">
        <v>0</v>
      </c>
      <c r="D423" s="8">
        <v>4.5</v>
      </c>
      <c r="F423" s="8">
        <v>3</v>
      </c>
    </row>
    <row r="424" spans="1:6" x14ac:dyDescent="0.25">
      <c r="A424" s="8">
        <v>3499</v>
      </c>
      <c r="B424" s="8" t="s">
        <v>27</v>
      </c>
      <c r="C424" s="8">
        <v>0</v>
      </c>
      <c r="D424" s="8">
        <v>4.5</v>
      </c>
      <c r="F424" s="8">
        <v>2.5</v>
      </c>
    </row>
    <row r="425" spans="1:6" x14ac:dyDescent="0.25">
      <c r="A425" s="8">
        <v>3576</v>
      </c>
      <c r="B425" s="8" t="s">
        <v>27</v>
      </c>
      <c r="C425" s="8">
        <v>0</v>
      </c>
      <c r="D425" s="8">
        <v>4.5</v>
      </c>
      <c r="F425" s="8">
        <v>5.5</v>
      </c>
    </row>
    <row r="426" spans="1:6" x14ac:dyDescent="0.25">
      <c r="A426" s="8">
        <v>3659</v>
      </c>
      <c r="B426" s="8" t="s">
        <v>27</v>
      </c>
      <c r="C426" s="8">
        <v>0</v>
      </c>
      <c r="D426" s="8">
        <v>4.5</v>
      </c>
      <c r="F426" s="8">
        <v>2.2000000000000002</v>
      </c>
    </row>
    <row r="427" spans="1:6" x14ac:dyDescent="0.25">
      <c r="A427" s="8">
        <v>3385</v>
      </c>
      <c r="B427" s="8" t="s">
        <v>27</v>
      </c>
      <c r="C427" s="8">
        <v>0</v>
      </c>
      <c r="D427" s="8">
        <v>5</v>
      </c>
      <c r="F427" s="8">
        <v>3.6</v>
      </c>
    </row>
    <row r="428" spans="1:6" x14ac:dyDescent="0.25">
      <c r="A428" s="8">
        <v>3578</v>
      </c>
      <c r="B428" s="8" t="s">
        <v>27</v>
      </c>
      <c r="C428" s="8">
        <v>0</v>
      </c>
      <c r="D428" s="8">
        <v>5</v>
      </c>
      <c r="F428" s="8">
        <v>3</v>
      </c>
    </row>
    <row r="429" spans="1:6" x14ac:dyDescent="0.25">
      <c r="A429" s="8">
        <v>3661</v>
      </c>
      <c r="B429" s="8" t="s">
        <v>27</v>
      </c>
      <c r="C429" s="8">
        <v>0</v>
      </c>
      <c r="D429" s="8">
        <v>5</v>
      </c>
      <c r="F429" s="8">
        <v>4</v>
      </c>
    </row>
    <row r="430" spans="1:6" x14ac:dyDescent="0.25">
      <c r="A430" s="8">
        <v>3694</v>
      </c>
      <c r="B430" s="8" t="s">
        <v>27</v>
      </c>
      <c r="C430" s="8">
        <v>0</v>
      </c>
      <c r="D430" s="8">
        <v>5</v>
      </c>
      <c r="F430" s="8">
        <v>4</v>
      </c>
    </row>
    <row r="431" spans="1:6" x14ac:dyDescent="0.25">
      <c r="A431" s="8">
        <v>3423</v>
      </c>
      <c r="B431" s="8" t="s">
        <v>27</v>
      </c>
      <c r="C431" s="8">
        <v>0</v>
      </c>
      <c r="D431" s="8">
        <v>5.5</v>
      </c>
      <c r="F431" s="8">
        <v>3.5</v>
      </c>
    </row>
    <row r="432" spans="1:6" x14ac:dyDescent="0.25">
      <c r="A432" s="8">
        <v>3558</v>
      </c>
      <c r="B432" s="8" t="s">
        <v>27</v>
      </c>
      <c r="C432" s="8">
        <v>0</v>
      </c>
      <c r="D432" s="8">
        <v>5.5</v>
      </c>
      <c r="F432" s="8">
        <v>7</v>
      </c>
    </row>
    <row r="433" spans="1:6" x14ac:dyDescent="0.25">
      <c r="A433" s="8">
        <v>3262</v>
      </c>
      <c r="B433" s="8" t="s">
        <v>27</v>
      </c>
      <c r="C433" s="8">
        <v>0</v>
      </c>
      <c r="D433" s="8">
        <v>6</v>
      </c>
      <c r="F433" s="8">
        <v>4.5</v>
      </c>
    </row>
    <row r="434" spans="1:6" x14ac:dyDescent="0.25">
      <c r="A434" s="8">
        <v>3488</v>
      </c>
      <c r="B434" s="8" t="s">
        <v>27</v>
      </c>
      <c r="C434" s="8">
        <v>0</v>
      </c>
      <c r="D434" s="8">
        <v>6.5</v>
      </c>
      <c r="F434" s="8">
        <v>6</v>
      </c>
    </row>
    <row r="435" spans="1:6" x14ac:dyDescent="0.25">
      <c r="A435" s="8">
        <v>3523</v>
      </c>
      <c r="B435" s="8" t="s">
        <v>27</v>
      </c>
      <c r="C435" s="8">
        <v>0</v>
      </c>
      <c r="D435" s="8">
        <v>6.5</v>
      </c>
      <c r="F435" s="8">
        <v>6</v>
      </c>
    </row>
    <row r="436" spans="1:6" x14ac:dyDescent="0.25">
      <c r="A436" s="8">
        <v>3114</v>
      </c>
      <c r="B436" s="8" t="s">
        <v>27</v>
      </c>
      <c r="C436" s="8">
        <v>0</v>
      </c>
      <c r="D436" s="8">
        <v>7</v>
      </c>
      <c r="F436" s="8">
        <v>5.5</v>
      </c>
    </row>
    <row r="437" spans="1:6" x14ac:dyDescent="0.25">
      <c r="A437" s="8">
        <v>3157</v>
      </c>
      <c r="B437" s="8" t="s">
        <v>27</v>
      </c>
      <c r="C437" s="8">
        <v>0</v>
      </c>
      <c r="D437" s="8">
        <v>7</v>
      </c>
      <c r="F437" s="8">
        <v>9</v>
      </c>
    </row>
    <row r="438" spans="1:6" x14ac:dyDescent="0.25">
      <c r="A438" s="8">
        <v>3372</v>
      </c>
      <c r="B438" s="8" t="s">
        <v>27</v>
      </c>
      <c r="C438" s="8">
        <v>0</v>
      </c>
      <c r="D438" s="8">
        <v>7.5</v>
      </c>
      <c r="F438" s="8">
        <v>9</v>
      </c>
    </row>
    <row r="439" spans="1:6" x14ac:dyDescent="0.25">
      <c r="A439" s="8">
        <v>3686</v>
      </c>
      <c r="B439" s="8" t="s">
        <v>27</v>
      </c>
      <c r="C439" s="8">
        <v>0</v>
      </c>
      <c r="D439" s="8">
        <v>7.5</v>
      </c>
      <c r="F439" s="8">
        <v>4.5</v>
      </c>
    </row>
    <row r="440" spans="1:6" x14ac:dyDescent="0.25">
      <c r="A440" s="8">
        <v>3420</v>
      </c>
      <c r="B440" s="8" t="s">
        <v>27</v>
      </c>
      <c r="C440" s="8">
        <v>0</v>
      </c>
      <c r="D440" s="8">
        <v>8</v>
      </c>
      <c r="F440" s="8">
        <v>5.8</v>
      </c>
    </row>
    <row r="441" spans="1:6" x14ac:dyDescent="0.25">
      <c r="A441" s="8">
        <v>3481</v>
      </c>
      <c r="B441" s="8" t="s">
        <v>27</v>
      </c>
      <c r="C441" s="8">
        <v>0</v>
      </c>
      <c r="D441" s="8">
        <v>8</v>
      </c>
      <c r="F441" s="8">
        <v>8</v>
      </c>
    </row>
    <row r="442" spans="1:6" x14ac:dyDescent="0.25">
      <c r="A442" s="8">
        <v>3527</v>
      </c>
      <c r="B442" s="8" t="s">
        <v>27</v>
      </c>
      <c r="C442" s="8">
        <v>0</v>
      </c>
      <c r="D442" s="8">
        <v>8</v>
      </c>
      <c r="F442" s="8">
        <v>10.5</v>
      </c>
    </row>
    <row r="443" spans="1:6" x14ac:dyDescent="0.25">
      <c r="A443" s="8">
        <v>3161</v>
      </c>
      <c r="B443" s="8" t="s">
        <v>27</v>
      </c>
      <c r="C443" s="8">
        <v>0</v>
      </c>
      <c r="D443" s="8">
        <v>8.5</v>
      </c>
      <c r="F443" s="8">
        <v>9</v>
      </c>
    </row>
    <row r="444" spans="1:6" x14ac:dyDescent="0.25">
      <c r="A444" s="8">
        <v>3185</v>
      </c>
      <c r="B444" s="8" t="s">
        <v>27</v>
      </c>
      <c r="C444" s="8">
        <v>0</v>
      </c>
      <c r="D444" s="8">
        <v>9</v>
      </c>
      <c r="F444" s="8">
        <v>6.5</v>
      </c>
    </row>
    <row r="445" spans="1:6" x14ac:dyDescent="0.25">
      <c r="A445" s="8">
        <v>3244</v>
      </c>
      <c r="B445" s="8" t="s">
        <v>27</v>
      </c>
      <c r="C445" s="8">
        <v>0</v>
      </c>
      <c r="D445" s="8">
        <v>9</v>
      </c>
      <c r="F445" s="8">
        <v>8</v>
      </c>
    </row>
    <row r="446" spans="1:6" x14ac:dyDescent="0.25">
      <c r="A446" s="8">
        <v>3263</v>
      </c>
      <c r="B446" s="8" t="s">
        <v>27</v>
      </c>
      <c r="C446" s="8">
        <v>0</v>
      </c>
      <c r="D446" s="8">
        <v>9</v>
      </c>
      <c r="F446" s="8">
        <v>8</v>
      </c>
    </row>
    <row r="447" spans="1:6" x14ac:dyDescent="0.25">
      <c r="A447" s="8">
        <v>3352</v>
      </c>
      <c r="B447" s="8" t="s">
        <v>27</v>
      </c>
      <c r="C447" s="8">
        <v>0</v>
      </c>
      <c r="D447" s="8">
        <v>9</v>
      </c>
      <c r="F447" s="8">
        <v>6</v>
      </c>
    </row>
    <row r="448" spans="1:6" x14ac:dyDescent="0.25">
      <c r="A448" s="8">
        <v>3363</v>
      </c>
      <c r="B448" s="8" t="s">
        <v>27</v>
      </c>
      <c r="C448" s="8">
        <v>0</v>
      </c>
      <c r="D448" s="8">
        <v>9</v>
      </c>
      <c r="F448" s="8">
        <v>6.5</v>
      </c>
    </row>
    <row r="449" spans="1:8" x14ac:dyDescent="0.25">
      <c r="A449" s="8">
        <v>3490</v>
      </c>
      <c r="B449" s="8" t="s">
        <v>27</v>
      </c>
      <c r="C449" s="8">
        <v>0</v>
      </c>
      <c r="D449" s="8">
        <v>9</v>
      </c>
      <c r="F449" s="8">
        <v>2.1</v>
      </c>
    </row>
    <row r="450" spans="1:8" x14ac:dyDescent="0.25">
      <c r="A450" s="8">
        <v>3146</v>
      </c>
      <c r="B450" s="8" t="s">
        <v>27</v>
      </c>
      <c r="C450" s="8">
        <v>0</v>
      </c>
      <c r="D450" s="8">
        <v>9.5</v>
      </c>
      <c r="F450" s="8">
        <v>10</v>
      </c>
    </row>
    <row r="451" spans="1:8" x14ac:dyDescent="0.25">
      <c r="A451" s="8">
        <v>3449</v>
      </c>
      <c r="B451" s="8" t="s">
        <v>27</v>
      </c>
      <c r="C451" s="8">
        <v>0</v>
      </c>
      <c r="D451" s="8">
        <v>9.5</v>
      </c>
      <c r="F451" s="8">
        <v>6</v>
      </c>
    </row>
    <row r="452" spans="1:8" x14ac:dyDescent="0.25">
      <c r="A452" s="8">
        <v>3059</v>
      </c>
      <c r="B452" s="8" t="s">
        <v>27</v>
      </c>
      <c r="C452" s="8">
        <v>0</v>
      </c>
      <c r="D452" s="8">
        <v>10</v>
      </c>
      <c r="F452" s="8">
        <v>9</v>
      </c>
    </row>
    <row r="453" spans="1:8" x14ac:dyDescent="0.25">
      <c r="A453" s="8">
        <v>3154</v>
      </c>
      <c r="B453" s="8" t="s">
        <v>27</v>
      </c>
      <c r="C453" s="8">
        <v>0</v>
      </c>
      <c r="D453" s="8">
        <v>10</v>
      </c>
      <c r="F453" s="8">
        <v>9</v>
      </c>
    </row>
    <row r="454" spans="1:8" x14ac:dyDescent="0.25">
      <c r="A454" s="8">
        <v>3426</v>
      </c>
      <c r="B454" s="8" t="s">
        <v>27</v>
      </c>
      <c r="C454" s="8">
        <v>0</v>
      </c>
      <c r="D454" s="8">
        <v>10.5</v>
      </c>
      <c r="F454" s="8">
        <v>9</v>
      </c>
    </row>
    <row r="455" spans="1:8" x14ac:dyDescent="0.25">
      <c r="A455" s="8">
        <v>3086</v>
      </c>
      <c r="B455" s="8" t="s">
        <v>27</v>
      </c>
      <c r="C455" s="8">
        <v>0</v>
      </c>
      <c r="D455" s="8">
        <v>12</v>
      </c>
      <c r="F455" s="8">
        <v>5.5</v>
      </c>
    </row>
    <row r="456" spans="1:8" x14ac:dyDescent="0.25">
      <c r="A456" s="8">
        <v>3383</v>
      </c>
      <c r="B456" s="8" t="s">
        <v>27</v>
      </c>
      <c r="C456" s="8">
        <v>0</v>
      </c>
      <c r="D456" s="8">
        <v>12</v>
      </c>
      <c r="F456" s="8">
        <v>10.5</v>
      </c>
    </row>
    <row r="457" spans="1:8" x14ac:dyDescent="0.25">
      <c r="A457" s="8">
        <v>3613</v>
      </c>
      <c r="B457" s="8" t="s">
        <v>27</v>
      </c>
      <c r="C457" s="8">
        <v>0</v>
      </c>
      <c r="D457" s="8">
        <v>12</v>
      </c>
      <c r="F457" s="8">
        <v>11.5</v>
      </c>
    </row>
    <row r="458" spans="1:8" x14ac:dyDescent="0.25">
      <c r="A458" s="8">
        <v>3173</v>
      </c>
      <c r="B458" s="8" t="s">
        <v>27</v>
      </c>
      <c r="C458" s="8">
        <v>0</v>
      </c>
      <c r="D458" s="8">
        <v>12.5</v>
      </c>
      <c r="F458" s="8">
        <v>9.5</v>
      </c>
    </row>
    <row r="459" spans="1:8" x14ac:dyDescent="0.25">
      <c r="A459" s="8">
        <v>3242</v>
      </c>
      <c r="B459" s="8" t="s">
        <v>27</v>
      </c>
      <c r="C459" s="8">
        <v>0</v>
      </c>
      <c r="D459" s="8">
        <v>14</v>
      </c>
      <c r="F459" s="8">
        <v>8</v>
      </c>
    </row>
    <row r="460" spans="1:8" x14ac:dyDescent="0.25">
      <c r="A460" s="8">
        <v>3063</v>
      </c>
      <c r="B460" s="8" t="s">
        <v>27</v>
      </c>
      <c r="C460" s="8">
        <v>0</v>
      </c>
      <c r="D460" s="8">
        <v>14.5</v>
      </c>
      <c r="F460" s="8">
        <v>11</v>
      </c>
    </row>
    <row r="461" spans="1:8" x14ac:dyDescent="0.25">
      <c r="A461" s="8">
        <v>3394</v>
      </c>
      <c r="B461" s="8" t="s">
        <v>27</v>
      </c>
      <c r="C461" s="8">
        <v>0</v>
      </c>
      <c r="D461" s="8">
        <v>15</v>
      </c>
      <c r="F461" s="8">
        <v>9.5</v>
      </c>
    </row>
    <row r="462" spans="1:8" x14ac:dyDescent="0.25">
      <c r="A462" s="8">
        <v>3229</v>
      </c>
      <c r="B462" s="8" t="s">
        <v>27</v>
      </c>
      <c r="C462" s="8">
        <v>0</v>
      </c>
      <c r="D462" s="8">
        <v>17.5</v>
      </c>
      <c r="F462" s="8">
        <v>8</v>
      </c>
    </row>
    <row r="463" spans="1:8" x14ac:dyDescent="0.25">
      <c r="A463" s="8">
        <v>3132</v>
      </c>
      <c r="B463" s="8" t="s">
        <v>27</v>
      </c>
      <c r="C463" s="8">
        <v>0</v>
      </c>
      <c r="D463" s="8">
        <v>20</v>
      </c>
      <c r="F463" s="8">
        <v>7.2</v>
      </c>
    </row>
    <row r="464" spans="1:8" x14ac:dyDescent="0.25">
      <c r="A464" s="8">
        <v>3589</v>
      </c>
      <c r="B464" s="8" t="s">
        <v>27</v>
      </c>
      <c r="C464" s="8">
        <v>1</v>
      </c>
      <c r="D464" s="8">
        <v>17</v>
      </c>
      <c r="F464" s="8">
        <v>10.6</v>
      </c>
      <c r="G464" s="8">
        <v>29</v>
      </c>
      <c r="H464" s="8">
        <v>19</v>
      </c>
    </row>
    <row r="465" spans="1:8" x14ac:dyDescent="0.25">
      <c r="A465" s="8">
        <v>3590</v>
      </c>
      <c r="B465" s="8" t="s">
        <v>27</v>
      </c>
      <c r="C465" s="8">
        <v>1</v>
      </c>
      <c r="D465" s="8">
        <v>15</v>
      </c>
      <c r="F465" s="8">
        <v>11.1</v>
      </c>
      <c r="G465" s="8">
        <v>34</v>
      </c>
      <c r="H465" s="8">
        <v>24</v>
      </c>
    </row>
    <row r="466" spans="1:8" x14ac:dyDescent="0.25">
      <c r="A466" s="8">
        <v>3411</v>
      </c>
      <c r="B466" s="8" t="s">
        <v>27</v>
      </c>
      <c r="C466" s="8">
        <v>1</v>
      </c>
      <c r="D466" s="8">
        <v>28.5</v>
      </c>
      <c r="F466" s="8">
        <v>18.5</v>
      </c>
      <c r="G466" s="8">
        <v>39</v>
      </c>
      <c r="H466" s="8">
        <v>29</v>
      </c>
    </row>
    <row r="467" spans="1:8" x14ac:dyDescent="0.25">
      <c r="A467" s="8">
        <v>3439</v>
      </c>
      <c r="B467" s="8" t="s">
        <v>27</v>
      </c>
      <c r="C467" s="8">
        <v>1</v>
      </c>
      <c r="D467" s="8">
        <v>25</v>
      </c>
      <c r="F467" s="8">
        <v>16.5</v>
      </c>
      <c r="G467" s="8">
        <v>40</v>
      </c>
      <c r="H467" s="8">
        <v>30</v>
      </c>
    </row>
    <row r="468" spans="1:8" x14ac:dyDescent="0.25">
      <c r="A468" s="8">
        <v>3410</v>
      </c>
      <c r="B468" s="8" t="s">
        <v>27</v>
      </c>
      <c r="C468" s="8">
        <v>1</v>
      </c>
      <c r="D468" s="8">
        <v>26.5</v>
      </c>
      <c r="F468" s="8">
        <v>18.5</v>
      </c>
      <c r="G468" s="8">
        <v>41</v>
      </c>
      <c r="H468" s="8">
        <v>31</v>
      </c>
    </row>
    <row r="469" spans="1:8" x14ac:dyDescent="0.25">
      <c r="A469" s="8">
        <v>3617</v>
      </c>
      <c r="B469" s="8" t="s">
        <v>27</v>
      </c>
      <c r="C469" s="8">
        <v>1</v>
      </c>
      <c r="D469" s="8">
        <v>30.5</v>
      </c>
      <c r="F469" s="8">
        <v>17.5</v>
      </c>
    </row>
    <row r="470" spans="1:8" x14ac:dyDescent="0.25">
      <c r="A470" s="8">
        <v>3438</v>
      </c>
      <c r="B470" s="8" t="s">
        <v>27</v>
      </c>
      <c r="C470" s="8">
        <v>1</v>
      </c>
      <c r="D470" s="8">
        <v>14</v>
      </c>
      <c r="F470" s="8">
        <v>12</v>
      </c>
    </row>
    <row r="471" spans="1:8" x14ac:dyDescent="0.25">
      <c r="A471" s="8">
        <v>3197</v>
      </c>
      <c r="B471" s="8" t="s">
        <v>27</v>
      </c>
      <c r="C471" s="8">
        <v>1</v>
      </c>
      <c r="D471" s="8">
        <v>33</v>
      </c>
      <c r="F471" s="8">
        <v>15</v>
      </c>
    </row>
    <row r="472" spans="1:8" x14ac:dyDescent="0.25">
      <c r="A472" s="8">
        <v>3507</v>
      </c>
      <c r="B472" s="8" t="s">
        <v>27</v>
      </c>
      <c r="C472" s="8">
        <v>1</v>
      </c>
      <c r="D472" s="8">
        <v>4.5</v>
      </c>
      <c r="F472" s="8">
        <v>2.5</v>
      </c>
    </row>
    <row r="473" spans="1:8" x14ac:dyDescent="0.25">
      <c r="A473" s="8">
        <v>3579</v>
      </c>
      <c r="B473" s="8" t="s">
        <v>27</v>
      </c>
      <c r="C473" s="8">
        <v>1</v>
      </c>
      <c r="D473" s="8">
        <v>7</v>
      </c>
      <c r="F473" s="8">
        <v>8</v>
      </c>
    </row>
    <row r="474" spans="1:8" x14ac:dyDescent="0.25">
      <c r="A474" s="8">
        <v>3286</v>
      </c>
      <c r="B474" s="8" t="s">
        <v>27</v>
      </c>
      <c r="C474" s="8">
        <v>1</v>
      </c>
      <c r="D474" s="8">
        <v>28</v>
      </c>
      <c r="F474" s="8">
        <v>16</v>
      </c>
    </row>
    <row r="475" spans="1:8" x14ac:dyDescent="0.25">
      <c r="A475" s="8">
        <v>3501</v>
      </c>
      <c r="B475" s="8" t="s">
        <v>27</v>
      </c>
      <c r="C475" s="8">
        <v>1</v>
      </c>
      <c r="D475" s="8">
        <v>15.5</v>
      </c>
      <c r="F475" s="8">
        <v>11</v>
      </c>
    </row>
    <row r="476" spans="1:8" x14ac:dyDescent="0.25">
      <c r="A476" s="8">
        <v>3636</v>
      </c>
      <c r="B476" s="8" t="s">
        <v>27</v>
      </c>
      <c r="C476" s="8">
        <v>1</v>
      </c>
      <c r="D476" s="8">
        <v>7</v>
      </c>
      <c r="F476" s="8">
        <v>6.5</v>
      </c>
    </row>
    <row r="477" spans="1:8" x14ac:dyDescent="0.25">
      <c r="A477" s="8">
        <v>3690</v>
      </c>
      <c r="B477" s="8" t="s">
        <v>27</v>
      </c>
      <c r="C477" s="8">
        <v>1</v>
      </c>
      <c r="D477" s="8">
        <v>16</v>
      </c>
      <c r="F477" s="8">
        <v>8.5</v>
      </c>
    </row>
    <row r="478" spans="1:8" x14ac:dyDescent="0.25">
      <c r="A478" s="8">
        <v>3637</v>
      </c>
      <c r="B478" s="8" t="s">
        <v>27</v>
      </c>
      <c r="C478" s="8">
        <v>1</v>
      </c>
      <c r="D478" s="8">
        <v>3.5</v>
      </c>
      <c r="F478" s="8">
        <v>3.5</v>
      </c>
    </row>
    <row r="479" spans="1:8" x14ac:dyDescent="0.25">
      <c r="A479" s="8">
        <v>3569</v>
      </c>
      <c r="B479" s="8" t="s">
        <v>27</v>
      </c>
      <c r="C479" s="8">
        <v>1</v>
      </c>
      <c r="D479" s="8">
        <v>4</v>
      </c>
      <c r="F479" s="8">
        <v>2.5</v>
      </c>
    </row>
    <row r="480" spans="1:8" x14ac:dyDescent="0.25">
      <c r="A480" s="8">
        <v>3645</v>
      </c>
      <c r="B480" s="8" t="s">
        <v>27</v>
      </c>
      <c r="C480" s="8">
        <v>1</v>
      </c>
      <c r="D480" s="8">
        <v>6.5</v>
      </c>
      <c r="F480" s="8">
        <v>5.5</v>
      </c>
    </row>
    <row r="481" spans="1:6" x14ac:dyDescent="0.25">
      <c r="A481" s="8">
        <v>3640</v>
      </c>
      <c r="B481" s="8" t="s">
        <v>27</v>
      </c>
      <c r="C481" s="8">
        <v>1</v>
      </c>
      <c r="D481" s="8">
        <v>3</v>
      </c>
      <c r="F481" s="8">
        <v>3.5</v>
      </c>
    </row>
    <row r="482" spans="1:6" x14ac:dyDescent="0.25">
      <c r="A482" s="8">
        <v>3647</v>
      </c>
      <c r="B482" s="8" t="s">
        <v>27</v>
      </c>
      <c r="C482" s="8">
        <v>1</v>
      </c>
      <c r="D482" s="8">
        <v>4</v>
      </c>
      <c r="F482" s="8">
        <v>4.5</v>
      </c>
    </row>
    <row r="483" spans="1:6" x14ac:dyDescent="0.25">
      <c r="A483" s="8">
        <v>3644</v>
      </c>
      <c r="B483" s="8" t="s">
        <v>27</v>
      </c>
      <c r="C483" s="8">
        <v>1</v>
      </c>
      <c r="D483" s="8">
        <v>3.5</v>
      </c>
      <c r="F483" s="8">
        <v>4</v>
      </c>
    </row>
    <row r="484" spans="1:6" x14ac:dyDescent="0.25">
      <c r="A484" s="8">
        <v>3535</v>
      </c>
      <c r="B484" s="8" t="s">
        <v>27</v>
      </c>
      <c r="C484" s="8">
        <v>1</v>
      </c>
      <c r="D484" s="8">
        <v>6</v>
      </c>
      <c r="F484" s="8">
        <v>4</v>
      </c>
    </row>
    <row r="485" spans="1:6" x14ac:dyDescent="0.25">
      <c r="A485" s="8">
        <v>3493</v>
      </c>
      <c r="B485" s="8" t="s">
        <v>27</v>
      </c>
      <c r="C485" s="8">
        <v>1</v>
      </c>
      <c r="D485" s="8">
        <v>2.5</v>
      </c>
      <c r="F485" s="8">
        <v>2.5</v>
      </c>
    </row>
    <row r="486" spans="1:6" x14ac:dyDescent="0.25">
      <c r="A486" s="8">
        <v>3594</v>
      </c>
      <c r="B486" s="8" t="s">
        <v>27</v>
      </c>
      <c r="C486" s="8">
        <v>1</v>
      </c>
      <c r="D486" s="8">
        <v>11.5</v>
      </c>
      <c r="F486" s="8">
        <v>15</v>
      </c>
    </row>
    <row r="487" spans="1:6" x14ac:dyDescent="0.25">
      <c r="A487" s="8">
        <v>3697</v>
      </c>
      <c r="B487" s="8" t="s">
        <v>27</v>
      </c>
      <c r="C487" s="8">
        <v>1</v>
      </c>
      <c r="D487" s="8">
        <v>3</v>
      </c>
      <c r="F487" s="8">
        <v>2.5</v>
      </c>
    </row>
    <row r="488" spans="1:6" x14ac:dyDescent="0.25">
      <c r="A488" s="8">
        <v>3649</v>
      </c>
      <c r="B488" s="8" t="s">
        <v>27</v>
      </c>
      <c r="C488" s="8">
        <v>1</v>
      </c>
      <c r="D488" s="8">
        <v>4</v>
      </c>
      <c r="F488" s="8">
        <v>4</v>
      </c>
    </row>
  </sheetData>
  <sortState ref="A2:I488">
    <sortCondition ref="E2:E488"/>
    <sortCondition ref="C2:C488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34"/>
  <sheetViews>
    <sheetView topLeftCell="A4" workbookViewId="0">
      <selection activeCell="H34" sqref="H34"/>
    </sheetView>
  </sheetViews>
  <sheetFormatPr defaultRowHeight="15" x14ac:dyDescent="0.25"/>
  <cols>
    <col min="15" max="15" width="9.5703125" bestFit="1" customWidth="1"/>
    <col min="22" max="22" width="15.28515625" customWidth="1"/>
  </cols>
  <sheetData>
    <row r="7" spans="2:25" ht="15.75" thickBot="1" x14ac:dyDescent="0.3">
      <c r="B7" s="18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ht="15.75" thickBot="1" x14ac:dyDescent="0.3">
      <c r="B8" s="15" t="s">
        <v>0</v>
      </c>
      <c r="C8" s="16" t="s">
        <v>1</v>
      </c>
      <c r="D8" s="16" t="s">
        <v>2</v>
      </c>
      <c r="E8" s="16" t="s">
        <v>3</v>
      </c>
      <c r="F8" s="16" t="s">
        <v>4</v>
      </c>
      <c r="G8" s="16" t="s">
        <v>5</v>
      </c>
      <c r="H8" s="16" t="s">
        <v>6</v>
      </c>
      <c r="I8" s="16" t="s">
        <v>7</v>
      </c>
      <c r="J8" s="16" t="s">
        <v>8</v>
      </c>
      <c r="K8" s="16" t="s">
        <v>9</v>
      </c>
      <c r="L8" s="16" t="s">
        <v>10</v>
      </c>
      <c r="M8" s="16" t="s">
        <v>11</v>
      </c>
      <c r="N8" s="16" t="s">
        <v>12</v>
      </c>
      <c r="O8" s="16" t="s">
        <v>13</v>
      </c>
      <c r="P8" s="16" t="s">
        <v>14</v>
      </c>
      <c r="Q8" s="17" t="s">
        <v>15</v>
      </c>
    </row>
    <row r="9" spans="2:25" ht="15.75" thickBot="1" x14ac:dyDescent="0.3">
      <c r="B9" s="2">
        <v>0</v>
      </c>
      <c r="C9" s="3">
        <v>0</v>
      </c>
      <c r="D9" s="3" t="s">
        <v>16</v>
      </c>
      <c r="E9" s="3">
        <v>27</v>
      </c>
      <c r="F9" s="3" t="s">
        <v>28</v>
      </c>
      <c r="G9" s="3" t="s">
        <v>17</v>
      </c>
      <c r="H9" s="3">
        <v>3</v>
      </c>
      <c r="I9" s="3">
        <v>0</v>
      </c>
      <c r="J9" s="30">
        <v>4.9925386000000005</v>
      </c>
      <c r="K9" s="30">
        <f>6.8937*LN(J9)-5.4273</f>
        <v>5.6573871228772381</v>
      </c>
      <c r="L9" s="30">
        <f>$W$13*J9^$X$13/1000 * H9</f>
        <v>2.9146443471536076E-3</v>
      </c>
      <c r="M9" s="3">
        <v>0</v>
      </c>
      <c r="N9" s="3">
        <v>0</v>
      </c>
      <c r="O9" s="30">
        <f>$W$12*J9^$X$12/1000*H9</f>
        <v>1.1057837765792111E-2</v>
      </c>
      <c r="P9" s="3">
        <f>H9*(((C$35*((J9)^D$35)))+((C$36*((J9)^D$36))))</f>
        <v>0</v>
      </c>
      <c r="Q9" s="4">
        <v>0</v>
      </c>
    </row>
    <row r="10" spans="2:25" x14ac:dyDescent="0.25">
      <c r="B10" s="2">
        <v>0</v>
      </c>
      <c r="C10" s="3">
        <v>0</v>
      </c>
      <c r="D10" s="3" t="s">
        <v>16</v>
      </c>
      <c r="E10" s="3">
        <v>27</v>
      </c>
      <c r="F10" s="3" t="s">
        <v>28</v>
      </c>
      <c r="G10" s="3" t="s">
        <v>17</v>
      </c>
      <c r="H10" s="3">
        <v>13</v>
      </c>
      <c r="I10" s="3">
        <v>0</v>
      </c>
      <c r="J10" s="30">
        <v>6.9196853846153834</v>
      </c>
      <c r="K10" s="30">
        <f>6.8937*LN(J10)-5.4273</f>
        <v>7.9076685643061539</v>
      </c>
      <c r="L10" s="30">
        <f t="shared" ref="L10:L26" si="0">$W$13*J10^$X$13/1000 * H10</f>
        <v>1.7949469751786476E-2</v>
      </c>
      <c r="M10" s="3">
        <v>0</v>
      </c>
      <c r="N10" s="3">
        <v>0</v>
      </c>
      <c r="O10" s="30">
        <f t="shared" ref="O10:O26" si="1">$W$12*J10^$X$12/1000*H10</f>
        <v>0.10859055530470348</v>
      </c>
      <c r="P10" s="3">
        <v>0</v>
      </c>
      <c r="Q10" s="4">
        <v>0</v>
      </c>
      <c r="V10" s="20"/>
      <c r="W10" s="21" t="s">
        <v>30</v>
      </c>
      <c r="X10" s="21"/>
      <c r="Y10" s="22"/>
    </row>
    <row r="11" spans="2:25" x14ac:dyDescent="0.25">
      <c r="B11" s="2">
        <v>0</v>
      </c>
      <c r="C11" s="3">
        <v>0</v>
      </c>
      <c r="D11" s="3" t="s">
        <v>16</v>
      </c>
      <c r="E11" s="3">
        <v>27</v>
      </c>
      <c r="F11" s="3" t="s">
        <v>28</v>
      </c>
      <c r="G11" s="3" t="s">
        <v>17</v>
      </c>
      <c r="H11" s="3">
        <v>14</v>
      </c>
      <c r="I11" s="3">
        <v>0</v>
      </c>
      <c r="J11" s="30">
        <v>9.1499340142857157</v>
      </c>
      <c r="K11" s="30">
        <f>6.8937*LN(J11)-5.4273</f>
        <v>9.8336054031783142</v>
      </c>
      <c r="L11" s="30">
        <f t="shared" si="0"/>
        <v>2.6114331213625216E-2</v>
      </c>
      <c r="M11" s="3">
        <v>0</v>
      </c>
      <c r="N11" s="3">
        <v>0</v>
      </c>
      <c r="O11" s="30">
        <f t="shared" si="1"/>
        <v>0.23554034463631904</v>
      </c>
      <c r="P11" s="3">
        <v>0</v>
      </c>
      <c r="Q11" s="4">
        <v>0</v>
      </c>
      <c r="V11" s="23"/>
      <c r="W11" s="24" t="s">
        <v>31</v>
      </c>
      <c r="X11" s="24" t="s">
        <v>32</v>
      </c>
      <c r="Y11" s="25" t="s">
        <v>33</v>
      </c>
    </row>
    <row r="12" spans="2:25" x14ac:dyDescent="0.25">
      <c r="B12" s="2">
        <v>0</v>
      </c>
      <c r="C12" s="3">
        <v>0</v>
      </c>
      <c r="D12" s="3" t="s">
        <v>16</v>
      </c>
      <c r="E12" s="3">
        <v>27</v>
      </c>
      <c r="F12" s="3" t="s">
        <v>28</v>
      </c>
      <c r="G12" s="3" t="s">
        <v>17</v>
      </c>
      <c r="H12" s="3">
        <v>17</v>
      </c>
      <c r="I12" s="3">
        <v>0</v>
      </c>
      <c r="J12" s="30">
        <v>11.138075905882355</v>
      </c>
      <c r="K12" s="30">
        <f>6.8937*LN(J12)-5.4273</f>
        <v>11.189064223399672</v>
      </c>
      <c r="L12" s="30">
        <f t="shared" si="0"/>
        <v>3.9187269459221644E-2</v>
      </c>
      <c r="M12" s="3">
        <v>0</v>
      </c>
      <c r="N12" s="3">
        <v>0</v>
      </c>
      <c r="O12" s="30">
        <f t="shared" si="1"/>
        <v>0.46816751417411623</v>
      </c>
      <c r="P12" s="3">
        <v>0</v>
      </c>
      <c r="Q12" s="4">
        <v>0</v>
      </c>
      <c r="V12" s="23" t="s">
        <v>38</v>
      </c>
      <c r="W12" s="24">
        <v>6.5519999999999995E-2</v>
      </c>
      <c r="X12" s="24">
        <v>2.5062600000000002</v>
      </c>
      <c r="Y12" s="25" t="s">
        <v>34</v>
      </c>
    </row>
    <row r="13" spans="2:25" ht="15.75" thickBot="1" x14ac:dyDescent="0.3">
      <c r="B13" s="2">
        <v>0</v>
      </c>
      <c r="C13" s="3">
        <v>0</v>
      </c>
      <c r="D13" s="3" t="s">
        <v>16</v>
      </c>
      <c r="E13" s="3">
        <v>27</v>
      </c>
      <c r="F13" s="3" t="s">
        <v>28</v>
      </c>
      <c r="G13" s="3" t="s">
        <v>17</v>
      </c>
      <c r="H13" s="3">
        <v>24</v>
      </c>
      <c r="I13" s="3">
        <v>0</v>
      </c>
      <c r="J13" s="30">
        <v>13.201941249999999</v>
      </c>
      <c r="K13" s="30">
        <f>6.8937*LN(J13)-5.4273</f>
        <v>12.360954501432168</v>
      </c>
      <c r="L13" s="30">
        <f t="shared" si="0"/>
        <v>6.6435541284617344E-2</v>
      </c>
      <c r="M13" s="3">
        <v>0</v>
      </c>
      <c r="N13" s="3">
        <v>0</v>
      </c>
      <c r="O13" s="30">
        <f t="shared" si="1"/>
        <v>1.0120333225767331</v>
      </c>
      <c r="P13" s="3">
        <v>0</v>
      </c>
      <c r="Q13" s="4">
        <v>0</v>
      </c>
      <c r="V13" s="26" t="s">
        <v>35</v>
      </c>
      <c r="W13" s="27">
        <v>0.17201</v>
      </c>
      <c r="X13" s="27">
        <v>1.07674</v>
      </c>
      <c r="Y13" s="28" t="s">
        <v>34</v>
      </c>
    </row>
    <row r="14" spans="2:25" x14ac:dyDescent="0.25">
      <c r="B14" s="2">
        <v>0</v>
      </c>
      <c r="C14" s="3">
        <v>0</v>
      </c>
      <c r="D14" s="3" t="s">
        <v>16</v>
      </c>
      <c r="E14" s="3">
        <v>27</v>
      </c>
      <c r="F14" s="3" t="s">
        <v>28</v>
      </c>
      <c r="G14" s="3" t="s">
        <v>17</v>
      </c>
      <c r="H14" s="3">
        <v>39</v>
      </c>
      <c r="I14" s="3">
        <v>0</v>
      </c>
      <c r="J14" s="30">
        <v>14.839693415384618</v>
      </c>
      <c r="K14" s="30">
        <f>6.8937*LN(J14)-5.4273</f>
        <v>13.167115464335094</v>
      </c>
      <c r="L14" s="30">
        <f t="shared" si="0"/>
        <v>0.12244424580105688</v>
      </c>
      <c r="M14" s="3">
        <v>0</v>
      </c>
      <c r="N14" s="3">
        <v>0</v>
      </c>
      <c r="O14" s="30">
        <f t="shared" si="1"/>
        <v>2.2046209868898328</v>
      </c>
      <c r="P14" s="3">
        <v>0</v>
      </c>
      <c r="Q14" s="4">
        <v>0</v>
      </c>
    </row>
    <row r="15" spans="2:25" x14ac:dyDescent="0.25">
      <c r="B15" s="2">
        <v>0</v>
      </c>
      <c r="C15" s="3">
        <v>0</v>
      </c>
      <c r="D15" s="3" t="s">
        <v>16</v>
      </c>
      <c r="E15" s="3">
        <v>27</v>
      </c>
      <c r="F15" s="3" t="s">
        <v>28</v>
      </c>
      <c r="G15" s="3" t="s">
        <v>17</v>
      </c>
      <c r="H15" s="3">
        <v>52</v>
      </c>
      <c r="I15" s="3">
        <v>0</v>
      </c>
      <c r="J15" s="30">
        <v>16.999791238461537</v>
      </c>
      <c r="K15" s="30">
        <f>6.8937*LN(J15)-5.4273</f>
        <v>14.10393817414068</v>
      </c>
      <c r="L15" s="30">
        <f t="shared" si="0"/>
        <v>0.18898392674970102</v>
      </c>
      <c r="M15" s="3">
        <v>0</v>
      </c>
      <c r="N15" s="3">
        <v>0</v>
      </c>
      <c r="O15" s="30">
        <f t="shared" si="1"/>
        <v>4.1322708502802667</v>
      </c>
      <c r="P15" s="3">
        <v>0</v>
      </c>
      <c r="Q15" s="4">
        <v>0</v>
      </c>
    </row>
    <row r="16" spans="2:25" x14ac:dyDescent="0.25">
      <c r="B16" s="2">
        <v>0</v>
      </c>
      <c r="C16" s="3">
        <v>0</v>
      </c>
      <c r="D16" s="3" t="s">
        <v>16</v>
      </c>
      <c r="E16" s="3">
        <v>27</v>
      </c>
      <c r="F16" s="3" t="s">
        <v>28</v>
      </c>
      <c r="G16" s="3" t="s">
        <v>17</v>
      </c>
      <c r="H16" s="3">
        <v>48</v>
      </c>
      <c r="I16" s="3">
        <v>0</v>
      </c>
      <c r="J16" s="30">
        <v>19.047647687500003</v>
      </c>
      <c r="K16" s="30">
        <f>6.8937*LN(J16)-5.4273</f>
        <v>14.888045184780779</v>
      </c>
      <c r="L16" s="30">
        <f t="shared" si="0"/>
        <v>0.19717475414995039</v>
      </c>
      <c r="M16" s="3">
        <v>0</v>
      </c>
      <c r="N16" s="3">
        <v>0</v>
      </c>
      <c r="O16" s="30">
        <f t="shared" si="1"/>
        <v>5.0725963745136653</v>
      </c>
      <c r="P16" s="3">
        <v>0</v>
      </c>
      <c r="Q16" s="4">
        <v>0</v>
      </c>
    </row>
    <row r="17" spans="2:17" x14ac:dyDescent="0.25">
      <c r="B17" s="2">
        <v>0</v>
      </c>
      <c r="C17" s="3">
        <v>0</v>
      </c>
      <c r="D17" s="3" t="s">
        <v>16</v>
      </c>
      <c r="E17" s="3">
        <v>27</v>
      </c>
      <c r="F17" s="3" t="s">
        <v>28</v>
      </c>
      <c r="G17" s="3" t="s">
        <v>17</v>
      </c>
      <c r="H17" s="3">
        <v>48</v>
      </c>
      <c r="I17" s="3">
        <v>0</v>
      </c>
      <c r="J17" s="30">
        <v>21.061365062499998</v>
      </c>
      <c r="K17" s="30">
        <f>6.8937*LN(J17)-5.4273</f>
        <v>15.580839350444595</v>
      </c>
      <c r="L17" s="30">
        <f t="shared" si="0"/>
        <v>0.21970796644914026</v>
      </c>
      <c r="M17" s="3">
        <v>0</v>
      </c>
      <c r="N17" s="3">
        <v>0</v>
      </c>
      <c r="O17" s="30">
        <f t="shared" si="1"/>
        <v>6.525539781204337</v>
      </c>
      <c r="P17" s="3">
        <v>0</v>
      </c>
      <c r="Q17" s="4">
        <v>0</v>
      </c>
    </row>
    <row r="18" spans="2:17" x14ac:dyDescent="0.25">
      <c r="B18" s="2">
        <v>0</v>
      </c>
      <c r="C18" s="3">
        <v>0</v>
      </c>
      <c r="D18" s="3" t="s">
        <v>16</v>
      </c>
      <c r="E18" s="3">
        <v>27</v>
      </c>
      <c r="F18" s="3" t="s">
        <v>28</v>
      </c>
      <c r="G18" s="3" t="s">
        <v>17</v>
      </c>
      <c r="H18" s="3">
        <v>47</v>
      </c>
      <c r="I18" s="3">
        <v>0</v>
      </c>
      <c r="J18" s="30">
        <v>22.900356910638301</v>
      </c>
      <c r="K18" s="30">
        <f>6.8937*LN(J18)-5.4273</f>
        <v>16.157925962062162</v>
      </c>
      <c r="L18" s="30">
        <f t="shared" si="0"/>
        <v>0.23542257150796778</v>
      </c>
      <c r="M18" s="3">
        <v>0</v>
      </c>
      <c r="N18" s="3">
        <v>0</v>
      </c>
      <c r="O18" s="30">
        <f t="shared" si="1"/>
        <v>7.8811571383409138</v>
      </c>
      <c r="P18" s="3">
        <v>0</v>
      </c>
      <c r="Q18" s="4">
        <v>0</v>
      </c>
    </row>
    <row r="19" spans="2:17" x14ac:dyDescent="0.25">
      <c r="B19" s="2">
        <v>0</v>
      </c>
      <c r="C19" s="3">
        <v>0</v>
      </c>
      <c r="D19" s="3" t="s">
        <v>16</v>
      </c>
      <c r="E19" s="11">
        <v>27</v>
      </c>
      <c r="F19" s="11" t="s">
        <v>28</v>
      </c>
      <c r="G19" s="3" t="s">
        <v>17</v>
      </c>
      <c r="H19" s="11">
        <v>29</v>
      </c>
      <c r="I19" s="3">
        <v>0</v>
      </c>
      <c r="J19" s="31">
        <v>25.101329137931035</v>
      </c>
      <c r="K19" s="30">
        <f t="shared" ref="K19:K26" si="2">6.8937*LN(J19)-5.4273</f>
        <v>16.790549108193229</v>
      </c>
      <c r="L19" s="30">
        <f t="shared" si="0"/>
        <v>0.16034711052445244</v>
      </c>
      <c r="M19" s="3">
        <v>0</v>
      </c>
      <c r="N19" s="3">
        <v>0</v>
      </c>
      <c r="O19" s="30">
        <f t="shared" si="1"/>
        <v>6.1203433130880107</v>
      </c>
      <c r="P19" s="3">
        <v>0</v>
      </c>
      <c r="Q19" s="4">
        <v>0</v>
      </c>
    </row>
    <row r="20" spans="2:17" x14ac:dyDescent="0.25">
      <c r="B20" s="2">
        <v>0</v>
      </c>
      <c r="C20" s="3">
        <v>0</v>
      </c>
      <c r="D20" s="3" t="s">
        <v>16</v>
      </c>
      <c r="E20" s="11">
        <v>27</v>
      </c>
      <c r="F20" s="11" t="s">
        <v>28</v>
      </c>
      <c r="G20" s="3" t="s">
        <v>17</v>
      </c>
      <c r="H20" s="11">
        <v>25</v>
      </c>
      <c r="I20" s="3">
        <v>0</v>
      </c>
      <c r="J20" s="31">
        <v>26.846984392000003</v>
      </c>
      <c r="K20" s="30">
        <f t="shared" si="2"/>
        <v>17.254031193291699</v>
      </c>
      <c r="L20" s="30">
        <f t="shared" si="0"/>
        <v>0.14860815977066894</v>
      </c>
      <c r="M20" s="3">
        <v>0</v>
      </c>
      <c r="N20" s="3">
        <v>0</v>
      </c>
      <c r="O20" s="30">
        <f t="shared" si="1"/>
        <v>6.2444984063884732</v>
      </c>
      <c r="P20" s="3">
        <v>0</v>
      </c>
      <c r="Q20" s="4">
        <v>0</v>
      </c>
    </row>
    <row r="21" spans="2:17" x14ac:dyDescent="0.25">
      <c r="B21" s="2">
        <v>0</v>
      </c>
      <c r="C21" s="3">
        <v>0</v>
      </c>
      <c r="D21" s="3" t="s">
        <v>16</v>
      </c>
      <c r="E21" s="11">
        <v>27</v>
      </c>
      <c r="F21" s="11" t="s">
        <v>28</v>
      </c>
      <c r="G21" s="3" t="s">
        <v>17</v>
      </c>
      <c r="H21" s="11">
        <v>17</v>
      </c>
      <c r="I21" s="3">
        <v>0</v>
      </c>
      <c r="J21" s="31">
        <v>28.909790376470585</v>
      </c>
      <c r="K21" s="30">
        <f t="shared" si="2"/>
        <v>17.764349769278944</v>
      </c>
      <c r="L21" s="30">
        <f t="shared" si="0"/>
        <v>0.10943800028388548</v>
      </c>
      <c r="M21" s="3">
        <v>0</v>
      </c>
      <c r="N21" s="3">
        <v>0</v>
      </c>
      <c r="O21" s="30">
        <f t="shared" si="1"/>
        <v>5.1118877418428283</v>
      </c>
      <c r="P21" s="3">
        <v>0</v>
      </c>
      <c r="Q21" s="4">
        <v>0</v>
      </c>
    </row>
    <row r="22" spans="2:17" x14ac:dyDescent="0.25">
      <c r="B22" s="2">
        <v>0</v>
      </c>
      <c r="C22" s="3">
        <v>0</v>
      </c>
      <c r="D22" s="3" t="s">
        <v>16</v>
      </c>
      <c r="E22" s="11">
        <v>27</v>
      </c>
      <c r="F22" s="11" t="s">
        <v>28</v>
      </c>
      <c r="G22" s="3" t="s">
        <v>17</v>
      </c>
      <c r="H22" s="11">
        <v>12</v>
      </c>
      <c r="I22" s="3">
        <v>0</v>
      </c>
      <c r="J22" s="31">
        <v>30.786658900000003</v>
      </c>
      <c r="K22" s="30">
        <f t="shared" si="2"/>
        <v>18.197971347362316</v>
      </c>
      <c r="L22" s="30">
        <f t="shared" si="0"/>
        <v>8.2663624712421488E-2</v>
      </c>
      <c r="M22" s="3">
        <v>0</v>
      </c>
      <c r="N22" s="3">
        <v>0</v>
      </c>
      <c r="O22" s="30">
        <f t="shared" si="1"/>
        <v>4.2245327799468075</v>
      </c>
      <c r="P22" s="3">
        <v>0</v>
      </c>
      <c r="Q22" s="4">
        <v>0</v>
      </c>
    </row>
    <row r="23" spans="2:17" x14ac:dyDescent="0.25">
      <c r="B23" s="2">
        <v>0</v>
      </c>
      <c r="C23" s="3">
        <v>0</v>
      </c>
      <c r="D23" s="3" t="s">
        <v>16</v>
      </c>
      <c r="E23" s="11">
        <v>27</v>
      </c>
      <c r="F23" s="11" t="s">
        <v>28</v>
      </c>
      <c r="G23" s="3" t="s">
        <v>17</v>
      </c>
      <c r="H23" s="11">
        <v>5</v>
      </c>
      <c r="I23" s="3">
        <v>0</v>
      </c>
      <c r="J23" s="31">
        <v>32.787475719999996</v>
      </c>
      <c r="K23" s="30">
        <f t="shared" si="2"/>
        <v>18.632034278590158</v>
      </c>
      <c r="L23" s="30">
        <f t="shared" si="0"/>
        <v>3.6859302503982783E-2</v>
      </c>
      <c r="M23" s="3">
        <v>0</v>
      </c>
      <c r="N23" s="3">
        <v>0</v>
      </c>
      <c r="O23" s="30">
        <f t="shared" si="1"/>
        <v>2.0611147916593371</v>
      </c>
      <c r="P23" s="3">
        <v>0</v>
      </c>
      <c r="Q23" s="4">
        <v>0</v>
      </c>
    </row>
    <row r="24" spans="2:17" x14ac:dyDescent="0.25">
      <c r="B24" s="2">
        <v>0</v>
      </c>
      <c r="C24" s="3">
        <v>0</v>
      </c>
      <c r="D24" s="3" t="s">
        <v>16</v>
      </c>
      <c r="E24" s="11">
        <v>27</v>
      </c>
      <c r="F24" s="11" t="s">
        <v>28</v>
      </c>
      <c r="G24" s="3" t="s">
        <v>17</v>
      </c>
      <c r="H24" s="11">
        <v>4</v>
      </c>
      <c r="I24" s="3">
        <v>0</v>
      </c>
      <c r="J24" s="31">
        <v>34.925321049999994</v>
      </c>
      <c r="K24" s="30">
        <f t="shared" si="2"/>
        <v>19.067478237612892</v>
      </c>
      <c r="L24" s="30">
        <f t="shared" si="0"/>
        <v>3.1562739364306827E-2</v>
      </c>
      <c r="M24" s="3">
        <v>0</v>
      </c>
      <c r="N24" s="3">
        <v>0</v>
      </c>
      <c r="O24" s="30">
        <f t="shared" si="1"/>
        <v>1.9317234709587587</v>
      </c>
      <c r="P24" s="3">
        <v>0</v>
      </c>
      <c r="Q24" s="4">
        <v>0</v>
      </c>
    </row>
    <row r="25" spans="2:17" x14ac:dyDescent="0.25">
      <c r="B25" s="2">
        <v>0</v>
      </c>
      <c r="C25" s="3">
        <v>0</v>
      </c>
      <c r="D25" s="3" t="s">
        <v>16</v>
      </c>
      <c r="E25" s="11">
        <v>27</v>
      </c>
      <c r="F25" s="11" t="s">
        <v>28</v>
      </c>
      <c r="G25" s="3" t="s">
        <v>17</v>
      </c>
      <c r="H25" s="11">
        <v>2</v>
      </c>
      <c r="I25" s="3">
        <v>0</v>
      </c>
      <c r="J25" s="31">
        <v>36.135602799999994</v>
      </c>
      <c r="K25" s="30">
        <f t="shared" si="2"/>
        <v>19.302322529513027</v>
      </c>
      <c r="L25" s="30">
        <f t="shared" si="0"/>
        <v>1.6370990277406641E-2</v>
      </c>
      <c r="M25" s="3">
        <v>0</v>
      </c>
      <c r="N25" s="3">
        <v>0</v>
      </c>
      <c r="O25" s="30">
        <f t="shared" si="1"/>
        <v>1.0519493243917486</v>
      </c>
      <c r="P25" s="3">
        <v>0</v>
      </c>
      <c r="Q25" s="4">
        <v>0</v>
      </c>
    </row>
    <row r="26" spans="2:17" ht="15.75" thickBot="1" x14ac:dyDescent="0.3">
      <c r="B26" s="5">
        <v>0</v>
      </c>
      <c r="C26" s="6">
        <v>0</v>
      </c>
      <c r="D26" s="6" t="s">
        <v>16</v>
      </c>
      <c r="E26" s="13">
        <v>27</v>
      </c>
      <c r="F26" s="13" t="s">
        <v>28</v>
      </c>
      <c r="G26" s="6" t="s">
        <v>17</v>
      </c>
      <c r="H26" s="13">
        <v>1</v>
      </c>
      <c r="I26" s="6">
        <v>0</v>
      </c>
      <c r="J26" s="32">
        <v>40.486235199999996</v>
      </c>
      <c r="K26" s="33">
        <f t="shared" si="2"/>
        <v>20.08602204781112</v>
      </c>
      <c r="L26" s="33">
        <f t="shared" si="0"/>
        <v>9.2513659207199249E-3</v>
      </c>
      <c r="M26" s="6">
        <v>0</v>
      </c>
      <c r="N26" s="6">
        <v>0</v>
      </c>
      <c r="O26" s="33">
        <f t="shared" si="1"/>
        <v>0.69936535970088265</v>
      </c>
      <c r="P26" s="6">
        <v>0</v>
      </c>
      <c r="Q26" s="7">
        <v>0</v>
      </c>
    </row>
    <row r="27" spans="2:17" x14ac:dyDescent="0.25">
      <c r="B27" s="3"/>
      <c r="C27" s="3"/>
      <c r="D27" s="3"/>
      <c r="E27" s="11"/>
      <c r="F27" s="11"/>
      <c r="G27" s="3"/>
      <c r="H27" s="11"/>
      <c r="I27" s="3"/>
      <c r="J27" s="11"/>
      <c r="K27" s="3"/>
      <c r="L27" s="3"/>
      <c r="M27" s="3"/>
      <c r="N27" s="3"/>
      <c r="O27" s="30"/>
      <c r="P27" s="3"/>
      <c r="Q27" s="3"/>
    </row>
    <row r="28" spans="2:17" ht="15.75" thickBot="1" x14ac:dyDescent="0.3">
      <c r="B28" t="s">
        <v>39</v>
      </c>
      <c r="O28" s="35"/>
    </row>
    <row r="29" spans="2:17" ht="15.75" thickBot="1" x14ac:dyDescent="0.3">
      <c r="B29" s="15" t="s">
        <v>0</v>
      </c>
      <c r="C29" s="16" t="s">
        <v>1</v>
      </c>
      <c r="D29" s="16" t="s">
        <v>2</v>
      </c>
      <c r="E29" s="16" t="s">
        <v>3</v>
      </c>
      <c r="F29" s="16" t="s">
        <v>4</v>
      </c>
      <c r="G29" s="16" t="s">
        <v>5</v>
      </c>
      <c r="H29" s="16" t="s">
        <v>37</v>
      </c>
      <c r="I29" s="16" t="s">
        <v>7</v>
      </c>
      <c r="J29" s="16" t="s">
        <v>8</v>
      </c>
      <c r="K29" s="16" t="s">
        <v>9</v>
      </c>
      <c r="L29" s="16" t="s">
        <v>10</v>
      </c>
      <c r="M29" s="16" t="s">
        <v>11</v>
      </c>
      <c r="N29" s="16" t="s">
        <v>12</v>
      </c>
      <c r="O29" s="36" t="s">
        <v>13</v>
      </c>
      <c r="P29" s="16" t="s">
        <v>14</v>
      </c>
      <c r="Q29" s="17" t="s">
        <v>15</v>
      </c>
    </row>
    <row r="30" spans="2:17" ht="15.75" thickBot="1" x14ac:dyDescent="0.3">
      <c r="B30" s="12">
        <v>0</v>
      </c>
      <c r="C30" s="13">
        <v>0</v>
      </c>
      <c r="D30" s="13" t="s">
        <v>16</v>
      </c>
      <c r="E30" s="13">
        <v>27</v>
      </c>
      <c r="F30" s="13" t="s">
        <v>28</v>
      </c>
      <c r="G30" s="13" t="s">
        <v>17</v>
      </c>
      <c r="H30" s="19">
        <f>INT((SUM(H9:H26) + COUNTIFS(dati_grezzi!C2:C500,0,dati_grezzi!D2:D500,"&gt;4") + 25)/0.49)</f>
        <v>957</v>
      </c>
      <c r="I30" s="19">
        <v>0</v>
      </c>
      <c r="J30" s="34">
        <f t="array" ref="J30">SUM(J9:J26*H9:H26)/SUM(H9:H26)</f>
        <v>19.699821646000004</v>
      </c>
      <c r="K30" s="34">
        <f>(-0.0082*(J30*J30))+(0.665*J30)+9.0113</f>
        <v>18.92940101693948</v>
      </c>
      <c r="L30" s="32">
        <f>$W$13*J30^$X$13/1000*H30</f>
        <v>4.0762889755118756</v>
      </c>
      <c r="M30" s="13">
        <v>0</v>
      </c>
      <c r="N30" s="13">
        <v>0</v>
      </c>
      <c r="O30" s="32">
        <f>W12*J30^X12/1000*H30</f>
        <v>110.03855941667076</v>
      </c>
      <c r="P30" s="13">
        <v>0</v>
      </c>
      <c r="Q30" s="14">
        <v>0</v>
      </c>
    </row>
    <row r="31" spans="2:17" x14ac:dyDescent="0.25">
      <c r="J31" s="35"/>
      <c r="K31" s="35"/>
      <c r="L31" s="35"/>
    </row>
    <row r="32" spans="2:17" ht="15.75" thickBot="1" x14ac:dyDescent="0.3">
      <c r="B32" t="s">
        <v>40</v>
      </c>
      <c r="J32" s="35"/>
      <c r="K32" s="35"/>
      <c r="L32" s="35"/>
    </row>
    <row r="33" spans="2:17" ht="15.75" thickBot="1" x14ac:dyDescent="0.3">
      <c r="B33" s="15" t="s">
        <v>0</v>
      </c>
      <c r="C33" s="16" t="s">
        <v>1</v>
      </c>
      <c r="D33" s="16" t="s">
        <v>2</v>
      </c>
      <c r="E33" s="16" t="s">
        <v>3</v>
      </c>
      <c r="F33" s="16" t="s">
        <v>4</v>
      </c>
      <c r="G33" s="16" t="s">
        <v>5</v>
      </c>
      <c r="H33" s="16" t="s">
        <v>37</v>
      </c>
      <c r="I33" s="16" t="s">
        <v>7</v>
      </c>
      <c r="J33" s="36" t="s">
        <v>8</v>
      </c>
      <c r="K33" s="36" t="s">
        <v>9</v>
      </c>
      <c r="L33" s="36" t="s">
        <v>10</v>
      </c>
      <c r="M33" s="16" t="s">
        <v>11</v>
      </c>
      <c r="N33" s="16" t="s">
        <v>12</v>
      </c>
      <c r="O33" s="16" t="s">
        <v>13</v>
      </c>
      <c r="P33" s="16" t="s">
        <v>14</v>
      </c>
      <c r="Q33" s="17" t="s">
        <v>15</v>
      </c>
    </row>
    <row r="34" spans="2:17" ht="15.75" thickBot="1" x14ac:dyDescent="0.3">
      <c r="B34" s="12">
        <v>0</v>
      </c>
      <c r="C34" s="13">
        <v>0</v>
      </c>
      <c r="D34" s="13" t="s">
        <v>16</v>
      </c>
      <c r="E34" s="13">
        <v>37</v>
      </c>
      <c r="F34" s="13" t="s">
        <v>28</v>
      </c>
      <c r="G34" s="13" t="s">
        <v>17</v>
      </c>
      <c r="H34" s="19">
        <f>INT((COUNTIFS(dati_grezzi!C2:C488,1,dati_grezzi!D2:D488,"&gt;4"))/0.49)</f>
        <v>851</v>
      </c>
      <c r="I34" s="19">
        <v>0</v>
      </c>
      <c r="J34" s="34">
        <f t="array" ref="J34">SUM(dati_grezzi!Q40:Q59*dati_grezzi!P40:P59)/SUM(dati_grezzi!P40:P59)</f>
        <v>22.278126514818343</v>
      </c>
      <c r="K34" s="34">
        <f>(-0.0082*(J34*J34))+(0.665*J34)+9.0113</f>
        <v>19.756471780070129</v>
      </c>
      <c r="L34" s="32">
        <f>$W$13*J34^$X$13/1000*H34</f>
        <v>4.138072836786904</v>
      </c>
      <c r="M34" s="13">
        <v>0</v>
      </c>
      <c r="N34" s="13">
        <v>0</v>
      </c>
      <c r="O34" s="13">
        <f>W12*J34^X12/1000*H34</f>
        <v>133.17963922845249</v>
      </c>
      <c r="P34" s="13">
        <v>0</v>
      </c>
      <c r="Q34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dati_grezzi</vt:lpstr>
      <vt:lpstr>initialization_data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Serse Marconi</dc:creator>
  <cp:lastModifiedBy>Serse Marconi</cp:lastModifiedBy>
  <dcterms:created xsi:type="dcterms:W3CDTF">2013-09-12T12:56:19Z</dcterms:created>
  <dcterms:modified xsi:type="dcterms:W3CDTF">2013-09-12T17:59:34Z</dcterms:modified>
</cp:coreProperties>
</file>