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1"/>
  <workbookPr codeName="ThisWorkbook" defaultThemeVersion="124226"/>
  <mc:AlternateContent xmlns:mc="http://schemas.openxmlformats.org/markup-compatibility/2006">
    <mc:Choice Requires="x15">
      <x15ac:absPath xmlns:x15ac="http://schemas.microsoft.com/office/spreadsheetml/2010/11/ac" url="https://microsoft-my.sharepoint.com/personal/tafen_microsoft_com/Documents/"/>
    </mc:Choice>
  </mc:AlternateContent>
  <xr:revisionPtr revIDLastSave="0" documentId="F3FC93992B36767BE2BC60894F8F62C408164FDA" xr6:coauthVersionLast="37" xr6:coauthVersionMax="37" xr10:uidLastSave="{00000000-0000-0000-0000-000000000000}"/>
  <bookViews>
    <workbookView xWindow="2790" yWindow="0" windowWidth="29010" windowHeight="13260" firstSheet="1" activeTab="1" xr2:uid="{00000000-000D-0000-FFFF-FFFF00000000}"/>
  </bookViews>
  <sheets>
    <sheet name="Cover" sheetId="27" r:id="rId1"/>
    <sheet name="Asmptn" sheetId="19" r:id="rId2"/>
    <sheet name="Stmnts" sheetId="21" r:id="rId3"/>
    <sheet name="Dshbrd" sheetId="23" r:id="rId4"/>
    <sheet name="Checks" sheetId="25" r:id="rId5"/>
    <sheet name="Lookup" sheetId="4" r:id="rId6"/>
  </sheets>
  <externalReferences>
    <externalReference r:id="rId7"/>
    <externalReference r:id="rId8"/>
  </externalReferences>
  <definedNames>
    <definedName name="Calander_Months" localSheetId="0">[1]Lookup!$D$106:$D$117</definedName>
    <definedName name="Calander_Months">Lookup!$D$99:$D$110</definedName>
    <definedName name="Currency" localSheetId="0">[1]Asmptn!$H$36</definedName>
    <definedName name="Currency">Asmptn!$H$36</definedName>
    <definedName name="Currency_Nominal">[2]Asmptn_C!$H$37</definedName>
    <definedName name="Currency_Real">[2]Asmptn_C!$H$36</definedName>
    <definedName name="Dash_Periods" localSheetId="0">[1]Lookup!$D$98:$D$101</definedName>
    <definedName name="Dash_Periods">Lookup!$D$91:$D$94</definedName>
    <definedName name="Days_In_Wk" localSheetId="0">[1]Lookup!$D$76</definedName>
    <definedName name="Days_In_Wk">Lookup!$D$69</definedName>
    <definedName name="Dep_Method">Lookup!$D$113:$D$114</definedName>
    <definedName name="Error" localSheetId="0">[1]Lookup!$D$83</definedName>
    <definedName name="Error">Lookup!$D$76</definedName>
    <definedName name="Fri" localSheetId="0">[1]Lookup!$D$125</definedName>
    <definedName name="Fri">Lookup!$D$118</definedName>
    <definedName name="Grade_Hardcoded">[2]Asmptn_C!$J$83</definedName>
    <definedName name="Half">Lookup!$D$74</definedName>
    <definedName name="JV_On">[2]Asmptn_P!$J$62</definedName>
    <definedName name="JV_Prop">[2]Asmptn_P!$J$63</definedName>
    <definedName name="Mon">Lookup!$D$114</definedName>
    <definedName name="Mth_Count_In_Qtr" localSheetId="0">[1]Lookup!$E$106:$E$117</definedName>
    <definedName name="Mth_Count_In_Qtr">Lookup!$E$99:$E$110</definedName>
    <definedName name="Mths_In_Mth" localSheetId="0">[1]Lookup!$D$73</definedName>
    <definedName name="Mths_In_Mth">Lookup!$D$66</definedName>
    <definedName name="Mths_In_Qtr" localSheetId="0">[1]Lookup!$D$74</definedName>
    <definedName name="Mths_In_Qtr">Lookup!$D$67</definedName>
    <definedName name="Mths_In_Yr" localSheetId="0">[1]Lookup!$D$75</definedName>
    <definedName name="Mths_In_Yr">Lookup!$D$68</definedName>
    <definedName name="No">Lookup!$D$81</definedName>
    <definedName name="OC_On">[2]Asmptn_C!$J$80</definedName>
    <definedName name="Ok" localSheetId="0">[1]Lookup!$D$82</definedName>
    <definedName name="Ok">Lookup!$D$75</definedName>
    <definedName name="Period_Length" localSheetId="0">[1]Lookup!$D$92:$D$94</definedName>
    <definedName name="Period_Length">Lookup!$D$85:$D$87</definedName>
    <definedName name="Periods_Per_Year" localSheetId="0">[1]Asmptn!$H$32</definedName>
    <definedName name="Periods_Per_Year">Asmptn!$H$32</definedName>
    <definedName name="_xlnm.Print_Area" localSheetId="3">Dshbrd!$D$8:$T$97</definedName>
    <definedName name="_xlnm.Print_Area" localSheetId="2">Stmnts!$A$1:$X$342</definedName>
    <definedName name="Qtr_1" localSheetId="0">[1]Lookup!$D$77</definedName>
    <definedName name="Qtr_1">Lookup!$D$70</definedName>
    <definedName name="Qtr_2" localSheetId="0">[1]Lookup!$D$78</definedName>
    <definedName name="Qtr_2">Lookup!$D$71</definedName>
    <definedName name="Qtr_3" localSheetId="0">[1]Lookup!$D$79</definedName>
    <definedName name="Qtr_3">Lookup!$D$72</definedName>
    <definedName name="Qtr_4" localSheetId="0">[1]Lookup!$D$80</definedName>
    <definedName name="Qtr_4">Lookup!$D$73</definedName>
    <definedName name="Sat">Lookup!$D$119</definedName>
    <definedName name="SlopeWall_On">[2]Asmptn_C!$J$82</definedName>
    <definedName name="Sun">Lookup!$D$120</definedName>
    <definedName name="Thu">Lookup!$D$117</definedName>
    <definedName name="Title_Msg" localSheetId="0">[1]Checks!$H$11</definedName>
    <definedName name="Title_Msg">Checks!$H$11</definedName>
    <definedName name="Tue">Lookup!$D$115</definedName>
    <definedName name="UG_On">[2]Asmptn_C!$J$81</definedName>
    <definedName name="Wed">Lookup!$D$116</definedName>
    <definedName name="Yes" localSheetId="0">[1]Lookup!$D$87</definedName>
    <definedName name="Yes">Lookup!$D$80</definedName>
    <definedName name="Yes_No" localSheetId="0">[1]Lookup!$D$87:$D$88</definedName>
    <definedName name="Yes_No">Lookup!$D$80:$D$81</definedName>
  </definedNames>
  <calcPr calcId="179020" calcCompleted="0"/>
</workbook>
</file>

<file path=xl/calcChain.xml><?xml version="1.0" encoding="utf-8"?>
<calcChain xmlns="http://schemas.openxmlformats.org/spreadsheetml/2006/main">
  <c r="H32" i="19" l="1"/>
  <c r="L58" i="4"/>
  <c r="L20" i="19"/>
  <c r="L150" i="19"/>
  <c r="L157" i="19"/>
  <c r="L155" i="19"/>
  <c r="L415" i="19"/>
  <c r="L416" i="19"/>
  <c r="L417" i="19"/>
  <c r="L418" i="19"/>
  <c r="L419" i="19"/>
  <c r="L420" i="19"/>
  <c r="L422" i="19"/>
  <c r="L143" i="19"/>
  <c r="L156" i="19"/>
  <c r="L148" i="19"/>
  <c r="L158" i="19"/>
  <c r="L152" i="19"/>
  <c r="L159" i="19"/>
  <c r="L166" i="19"/>
  <c r="L151" i="19"/>
  <c r="L160" i="19"/>
  <c r="L161" i="19"/>
  <c r="L167" i="19"/>
  <c r="M58" i="4"/>
  <c r="M20" i="19"/>
  <c r="M150" i="19"/>
  <c r="M157" i="19"/>
  <c r="N58" i="4"/>
  <c r="N20" i="19"/>
  <c r="N150" i="19"/>
  <c r="M415" i="19"/>
  <c r="M416" i="19"/>
  <c r="M417" i="19"/>
  <c r="M418" i="19"/>
  <c r="M419" i="19"/>
  <c r="M420" i="19"/>
  <c r="M422" i="19"/>
  <c r="M143" i="19"/>
  <c r="N157" i="19"/>
  <c r="O58" i="4"/>
  <c r="O20" i="19"/>
  <c r="O150" i="19"/>
  <c r="N415" i="19"/>
  <c r="N416" i="19"/>
  <c r="N417" i="19"/>
  <c r="N418" i="19"/>
  <c r="N419" i="19"/>
  <c r="N420" i="19"/>
  <c r="N422" i="19"/>
  <c r="N143" i="19"/>
  <c r="O157" i="19"/>
  <c r="P58" i="4"/>
  <c r="P20" i="19"/>
  <c r="P150" i="19"/>
  <c r="O415" i="19"/>
  <c r="O416" i="19"/>
  <c r="O417" i="19"/>
  <c r="O418" i="19"/>
  <c r="O419" i="19"/>
  <c r="O420" i="19"/>
  <c r="O422" i="19"/>
  <c r="O143" i="19"/>
  <c r="P157" i="19"/>
  <c r="Q58" i="4"/>
  <c r="Q20" i="19"/>
  <c r="Q150" i="19"/>
  <c r="P415" i="19"/>
  <c r="P416" i="19"/>
  <c r="P417" i="19"/>
  <c r="P418" i="19"/>
  <c r="P419" i="19"/>
  <c r="P420" i="19"/>
  <c r="P422" i="19"/>
  <c r="P143" i="19"/>
  <c r="Q157" i="19"/>
  <c r="R58" i="4"/>
  <c r="R20" i="19"/>
  <c r="R150" i="19"/>
  <c r="Q415" i="19"/>
  <c r="Q416" i="19"/>
  <c r="Q417" i="19"/>
  <c r="Q418" i="19"/>
  <c r="Q419" i="19"/>
  <c r="Q420" i="19"/>
  <c r="Q422" i="19"/>
  <c r="Q143" i="19"/>
  <c r="R157" i="19"/>
  <c r="S58" i="4"/>
  <c r="S20" i="19"/>
  <c r="S150" i="19"/>
  <c r="R415" i="19"/>
  <c r="R416" i="19"/>
  <c r="R417" i="19"/>
  <c r="R418" i="19"/>
  <c r="R419" i="19"/>
  <c r="R420" i="19"/>
  <c r="R422" i="19"/>
  <c r="R143" i="19"/>
  <c r="S157" i="19"/>
  <c r="T58" i="4"/>
  <c r="T20" i="19"/>
  <c r="T150" i="19"/>
  <c r="S415" i="19"/>
  <c r="S416" i="19"/>
  <c r="S417" i="19"/>
  <c r="S418" i="19"/>
  <c r="S419" i="19"/>
  <c r="S420" i="19"/>
  <c r="S422" i="19"/>
  <c r="S143" i="19"/>
  <c r="T157" i="19"/>
  <c r="U58" i="4"/>
  <c r="U20" i="19"/>
  <c r="U150" i="19"/>
  <c r="T415" i="19"/>
  <c r="T416" i="19"/>
  <c r="T417" i="19"/>
  <c r="T418" i="19"/>
  <c r="T419" i="19"/>
  <c r="T420" i="19"/>
  <c r="T422" i="19"/>
  <c r="T143" i="19"/>
  <c r="U157" i="19"/>
  <c r="V58" i="4"/>
  <c r="V20" i="19"/>
  <c r="V150" i="19"/>
  <c r="U415" i="19"/>
  <c r="U416" i="19"/>
  <c r="U417" i="19"/>
  <c r="U418" i="19"/>
  <c r="U419" i="19"/>
  <c r="U420" i="19"/>
  <c r="U422" i="19"/>
  <c r="U143" i="19"/>
  <c r="V157" i="19"/>
  <c r="W58" i="4"/>
  <c r="W20" i="19"/>
  <c r="W150" i="19"/>
  <c r="V415" i="19"/>
  <c r="V416" i="19"/>
  <c r="V417" i="19"/>
  <c r="V418" i="19"/>
  <c r="V419" i="19"/>
  <c r="V420" i="19"/>
  <c r="V422" i="19"/>
  <c r="V143" i="19"/>
  <c r="W157" i="19"/>
  <c r="X58" i="4"/>
  <c r="X20" i="19"/>
  <c r="X150" i="19"/>
  <c r="W415" i="19"/>
  <c r="W416" i="19"/>
  <c r="W417" i="19"/>
  <c r="W418" i="19"/>
  <c r="W419" i="19"/>
  <c r="W420" i="19"/>
  <c r="W422" i="19"/>
  <c r="W143" i="19"/>
  <c r="X157" i="19"/>
  <c r="L56" i="19"/>
  <c r="M56" i="19"/>
  <c r="M393" i="19"/>
  <c r="L57" i="19"/>
  <c r="M57" i="19"/>
  <c r="M394" i="19"/>
  <c r="L58" i="19"/>
  <c r="M58" i="19"/>
  <c r="M395" i="19"/>
  <c r="L59" i="19"/>
  <c r="M59" i="19"/>
  <c r="M396" i="19"/>
  <c r="L60" i="19"/>
  <c r="M60" i="19"/>
  <c r="M397" i="19"/>
  <c r="M398" i="19"/>
  <c r="M400" i="19"/>
  <c r="M114" i="19"/>
  <c r="M450" i="19"/>
  <c r="M51" i="4"/>
  <c r="L49" i="4"/>
  <c r="L51" i="4"/>
  <c r="L50" i="4"/>
  <c r="M49" i="4"/>
  <c r="M50" i="4"/>
  <c r="M52" i="4"/>
  <c r="M14" i="19"/>
  <c r="L393" i="19"/>
  <c r="L394" i="19"/>
  <c r="L395" i="19"/>
  <c r="L396" i="19"/>
  <c r="L397" i="19"/>
  <c r="L398" i="19"/>
  <c r="L400" i="19"/>
  <c r="L114" i="19"/>
  <c r="L52" i="4"/>
  <c r="L14" i="19"/>
  <c r="L115" i="19"/>
  <c r="L116" i="19"/>
  <c r="M113" i="19"/>
  <c r="M115" i="19"/>
  <c r="M455" i="19"/>
  <c r="M205" i="21"/>
  <c r="R51" i="4"/>
  <c r="Q51" i="4"/>
  <c r="P51" i="4"/>
  <c r="O51" i="4"/>
  <c r="N51" i="4"/>
  <c r="N49" i="4"/>
  <c r="N50" i="4"/>
  <c r="O49" i="4"/>
  <c r="O50" i="4"/>
  <c r="P49" i="4"/>
  <c r="P50" i="4"/>
  <c r="Q49" i="4"/>
  <c r="Q50" i="4"/>
  <c r="R49" i="4"/>
  <c r="R50" i="4"/>
  <c r="R45" i="4"/>
  <c r="R7" i="19"/>
  <c r="N45" i="4"/>
  <c r="N7" i="19"/>
  <c r="O45" i="4"/>
  <c r="O7" i="19"/>
  <c r="K75" i="19"/>
  <c r="M75" i="19"/>
  <c r="M404" i="19"/>
  <c r="L45" i="4"/>
  <c r="L7" i="19"/>
  <c r="M45" i="4"/>
  <c r="M7" i="19"/>
  <c r="K76" i="19"/>
  <c r="M76" i="19"/>
  <c r="M405" i="19"/>
  <c r="K77" i="19"/>
  <c r="M77" i="19"/>
  <c r="M406" i="19"/>
  <c r="K78" i="19"/>
  <c r="M78" i="19"/>
  <c r="M407" i="19"/>
  <c r="P45" i="4"/>
  <c r="P7" i="19"/>
  <c r="K79" i="19"/>
  <c r="M79" i="19"/>
  <c r="M408" i="19"/>
  <c r="M409" i="19"/>
  <c r="M411" i="19"/>
  <c r="M122" i="19"/>
  <c r="M451" i="19"/>
  <c r="M121" i="19"/>
  <c r="M123" i="19"/>
  <c r="M456" i="19"/>
  <c r="M206" i="21"/>
  <c r="M207" i="21"/>
  <c r="L382" i="19"/>
  <c r="L30" i="21"/>
  <c r="L383" i="19"/>
  <c r="L31" i="21"/>
  <c r="L384" i="19"/>
  <c r="L32" i="21"/>
  <c r="L385" i="19"/>
  <c r="L33" i="21"/>
  <c r="L386" i="19"/>
  <c r="L34" i="21"/>
  <c r="L35" i="21"/>
  <c r="L37" i="21"/>
  <c r="P13" i="4"/>
  <c r="N60" i="19"/>
  <c r="O60" i="19"/>
  <c r="P60" i="19"/>
  <c r="N59" i="19"/>
  <c r="O59" i="19"/>
  <c r="P59" i="19"/>
  <c r="Q59" i="19"/>
  <c r="R59" i="19"/>
  <c r="R396" i="19"/>
  <c r="N58" i="19"/>
  <c r="O58" i="19"/>
  <c r="P58" i="19"/>
  <c r="N57" i="19"/>
  <c r="O57" i="19"/>
  <c r="P57" i="19"/>
  <c r="Q57" i="19"/>
  <c r="N56" i="19"/>
  <c r="O56" i="19"/>
  <c r="P56" i="19"/>
  <c r="Q56" i="19"/>
  <c r="R56" i="19"/>
  <c r="S56" i="19"/>
  <c r="S393" i="19"/>
  <c r="T56" i="19"/>
  <c r="J51" i="19"/>
  <c r="AE26" i="23"/>
  <c r="AF26" i="23"/>
  <c r="AE27" i="23"/>
  <c r="AF27" i="23"/>
  <c r="AE28" i="23"/>
  <c r="AF28" i="23"/>
  <c r="AB12" i="23"/>
  <c r="AB13" i="23"/>
  <c r="AB14" i="23"/>
  <c r="AB15" i="23"/>
  <c r="AE24" i="23"/>
  <c r="AF24" i="23"/>
  <c r="AE23" i="23"/>
  <c r="AF23" i="23"/>
  <c r="K366" i="19"/>
  <c r="U382" i="19"/>
  <c r="U169" i="21"/>
  <c r="U383" i="19"/>
  <c r="U384" i="19"/>
  <c r="U171" i="21"/>
  <c r="U385" i="19"/>
  <c r="U172" i="21"/>
  <c r="U386" i="19"/>
  <c r="U173" i="21"/>
  <c r="L172" i="21"/>
  <c r="L173" i="21"/>
  <c r="M382" i="19"/>
  <c r="M30" i="21"/>
  <c r="M383" i="19"/>
  <c r="M31" i="21"/>
  <c r="M384" i="19"/>
  <c r="M385" i="19"/>
  <c r="M386" i="19"/>
  <c r="M34" i="21"/>
  <c r="N382" i="19"/>
  <c r="N30" i="21"/>
  <c r="N383" i="19"/>
  <c r="N170" i="21"/>
  <c r="N31" i="21"/>
  <c r="N384" i="19"/>
  <c r="N385" i="19"/>
  <c r="N386" i="19"/>
  <c r="N173" i="21"/>
  <c r="O382" i="19"/>
  <c r="O30" i="21"/>
  <c r="O383" i="19"/>
  <c r="O31" i="21"/>
  <c r="O384" i="19"/>
  <c r="O32" i="21"/>
  <c r="O385" i="19"/>
  <c r="O386" i="19"/>
  <c r="O34" i="21"/>
  <c r="P382" i="19"/>
  <c r="P30" i="21"/>
  <c r="P383" i="19"/>
  <c r="P170" i="21"/>
  <c r="P31" i="21"/>
  <c r="P384" i="19"/>
  <c r="P171" i="21"/>
  <c r="P32" i="21"/>
  <c r="P385" i="19"/>
  <c r="P33" i="21"/>
  <c r="P386" i="19"/>
  <c r="Q382" i="19"/>
  <c r="Q30" i="21"/>
  <c r="Q383" i="19"/>
  <c r="Q384" i="19"/>
  <c r="Q385" i="19"/>
  <c r="Q172" i="21"/>
  <c r="Q33" i="21"/>
  <c r="Q386" i="19"/>
  <c r="Q173" i="21"/>
  <c r="R382" i="19"/>
  <c r="R169" i="21"/>
  <c r="R383" i="19"/>
  <c r="R31" i="21"/>
  <c r="R384" i="19"/>
  <c r="R32" i="21"/>
  <c r="R385" i="19"/>
  <c r="R33" i="21"/>
  <c r="R386" i="19"/>
  <c r="R34" i="21"/>
  <c r="S382" i="19"/>
  <c r="S383" i="19"/>
  <c r="S384" i="19"/>
  <c r="S385" i="19"/>
  <c r="S386" i="19"/>
  <c r="S387" i="19"/>
  <c r="S31" i="21"/>
  <c r="S32" i="21"/>
  <c r="S33" i="21"/>
  <c r="S34" i="21"/>
  <c r="T382" i="19"/>
  <c r="T383" i="19"/>
  <c r="T31" i="21"/>
  <c r="T384" i="19"/>
  <c r="T32" i="21"/>
  <c r="T385" i="19"/>
  <c r="T386" i="19"/>
  <c r="T173" i="21"/>
  <c r="U121" i="19"/>
  <c r="U446" i="19"/>
  <c r="L179" i="19"/>
  <c r="M176" i="19"/>
  <c r="V152" i="19"/>
  <c r="M142" i="19"/>
  <c r="N142" i="19"/>
  <c r="O142" i="19"/>
  <c r="T257" i="19"/>
  <c r="U491" i="19"/>
  <c r="U227" i="21"/>
  <c r="U228" i="21"/>
  <c r="U495" i="19"/>
  <c r="U192" i="19"/>
  <c r="L467" i="19"/>
  <c r="L320" i="19"/>
  <c r="L427" i="19"/>
  <c r="L428" i="19"/>
  <c r="L315" i="19"/>
  <c r="L317" i="19"/>
  <c r="L487" i="19"/>
  <c r="L334" i="19"/>
  <c r="L445" i="19"/>
  <c r="L446" i="19"/>
  <c r="L505" i="19"/>
  <c r="L506" i="19"/>
  <c r="L327" i="19"/>
  <c r="L328" i="19"/>
  <c r="L529" i="19"/>
  <c r="L329" i="19"/>
  <c r="L523" i="19"/>
  <c r="L342" i="19"/>
  <c r="K282" i="19"/>
  <c r="L282" i="19"/>
  <c r="K293" i="19"/>
  <c r="L293" i="19"/>
  <c r="L289" i="19"/>
  <c r="L278" i="19"/>
  <c r="L243" i="19"/>
  <c r="L491" i="19"/>
  <c r="L227" i="21"/>
  <c r="L228" i="21"/>
  <c r="L495" i="19"/>
  <c r="L496" i="19"/>
  <c r="L193" i="19"/>
  <c r="L524" i="19"/>
  <c r="L233" i="21"/>
  <c r="L194" i="19"/>
  <c r="L525" i="19"/>
  <c r="L213" i="19"/>
  <c r="M282" i="19"/>
  <c r="M293" i="19"/>
  <c r="M446" i="19"/>
  <c r="L257" i="19"/>
  <c r="M491" i="19"/>
  <c r="M227" i="21"/>
  <c r="M495" i="19"/>
  <c r="M496" i="19"/>
  <c r="M192" i="19"/>
  <c r="M523" i="19"/>
  <c r="M213" i="19"/>
  <c r="N282" i="19"/>
  <c r="N293" i="19"/>
  <c r="N121" i="19"/>
  <c r="N446" i="19"/>
  <c r="M257" i="19"/>
  <c r="N491" i="19"/>
  <c r="N495" i="19"/>
  <c r="N192" i="19"/>
  <c r="N193" i="19"/>
  <c r="N524" i="19"/>
  <c r="N233" i="21"/>
  <c r="N213" i="19"/>
  <c r="O282" i="19"/>
  <c r="O293" i="19"/>
  <c r="O121" i="19"/>
  <c r="O446" i="19"/>
  <c r="N257" i="19"/>
  <c r="O491" i="19"/>
  <c r="O227" i="21"/>
  <c r="O495" i="19"/>
  <c r="O230" i="21"/>
  <c r="O231" i="21"/>
  <c r="O192" i="19"/>
  <c r="O193" i="19"/>
  <c r="O524" i="19"/>
  <c r="O233" i="21"/>
  <c r="O213" i="19"/>
  <c r="P282" i="19"/>
  <c r="P293" i="19"/>
  <c r="P121" i="19"/>
  <c r="P446" i="19"/>
  <c r="O257" i="19"/>
  <c r="P491" i="19"/>
  <c r="P495" i="19"/>
  <c r="P230" i="21"/>
  <c r="P231" i="21"/>
  <c r="P223" i="19"/>
  <c r="P192" i="19"/>
  <c r="P523" i="19"/>
  <c r="P213" i="19"/>
  <c r="Q282" i="19"/>
  <c r="Q293" i="19"/>
  <c r="Q121" i="19"/>
  <c r="Q446" i="19"/>
  <c r="P257" i="19"/>
  <c r="Q491" i="19"/>
  <c r="Q495" i="19"/>
  <c r="Q192" i="19"/>
  <c r="Q193" i="19"/>
  <c r="Q524" i="19"/>
  <c r="Q233" i="21"/>
  <c r="Q213" i="19"/>
  <c r="R282" i="19"/>
  <c r="R293" i="19"/>
  <c r="R121" i="19"/>
  <c r="R446" i="19"/>
  <c r="Q257" i="19"/>
  <c r="R491" i="19"/>
  <c r="R227" i="21"/>
  <c r="R228" i="21"/>
  <c r="R222" i="19"/>
  <c r="R495" i="19"/>
  <c r="R230" i="21"/>
  <c r="R231" i="21"/>
  <c r="R192" i="19"/>
  <c r="R193" i="19"/>
  <c r="R524" i="19"/>
  <c r="R233" i="21"/>
  <c r="R213" i="19"/>
  <c r="S282" i="19"/>
  <c r="S293" i="19"/>
  <c r="S121" i="19"/>
  <c r="S446" i="19"/>
  <c r="R257" i="19"/>
  <c r="S491" i="19"/>
  <c r="S227" i="21"/>
  <c r="S228" i="21"/>
  <c r="S262" i="21"/>
  <c r="S495" i="19"/>
  <c r="S230" i="21"/>
  <c r="S192" i="19"/>
  <c r="S193" i="19"/>
  <c r="S524" i="19"/>
  <c r="S233" i="21"/>
  <c r="S213" i="19"/>
  <c r="T282" i="19"/>
  <c r="T293" i="19"/>
  <c r="T170" i="21"/>
  <c r="T121" i="19"/>
  <c r="T446" i="19"/>
  <c r="S257" i="19"/>
  <c r="T491" i="19"/>
  <c r="T227" i="21"/>
  <c r="T495" i="19"/>
  <c r="T230" i="21"/>
  <c r="T231" i="21"/>
  <c r="T192" i="19"/>
  <c r="T523" i="19"/>
  <c r="T193" i="19"/>
  <c r="T524" i="19"/>
  <c r="T213" i="19"/>
  <c r="U32" i="21"/>
  <c r="U282" i="19"/>
  <c r="U293" i="19"/>
  <c r="U213" i="19"/>
  <c r="C353" i="19"/>
  <c r="D36" i="25"/>
  <c r="D37" i="25"/>
  <c r="D35" i="25"/>
  <c r="D22" i="25"/>
  <c r="D26" i="25"/>
  <c r="D29" i="25"/>
  <c r="D30" i="25"/>
  <c r="D24" i="25"/>
  <c r="D23" i="25"/>
  <c r="D27" i="25"/>
  <c r="D467" i="19"/>
  <c r="D475" i="19"/>
  <c r="D67" i="21"/>
  <c r="K168" i="19"/>
  <c r="K167" i="19"/>
  <c r="K166" i="19"/>
  <c r="K165" i="19"/>
  <c r="K161" i="19"/>
  <c r="K160" i="19"/>
  <c r="K159" i="19"/>
  <c r="K158" i="19"/>
  <c r="K157" i="19"/>
  <c r="K156" i="19"/>
  <c r="K155" i="19"/>
  <c r="K149" i="19"/>
  <c r="K143" i="19"/>
  <c r="D136" i="19"/>
  <c r="I135" i="19"/>
  <c r="K92" i="19"/>
  <c r="K91" i="19"/>
  <c r="K90" i="19"/>
  <c r="K89" i="19"/>
  <c r="K88" i="19"/>
  <c r="K87" i="19"/>
  <c r="J70" i="19"/>
  <c r="M152" i="21"/>
  <c r="N152" i="21"/>
  <c r="O152" i="21"/>
  <c r="P152" i="21"/>
  <c r="Q152" i="21"/>
  <c r="R152" i="21"/>
  <c r="S152" i="21"/>
  <c r="T152" i="21"/>
  <c r="U152" i="21"/>
  <c r="V152" i="21"/>
  <c r="W152" i="21"/>
  <c r="X152" i="21"/>
  <c r="L152" i="21"/>
  <c r="M135" i="21"/>
  <c r="N135" i="21"/>
  <c r="O135" i="21"/>
  <c r="P135" i="21"/>
  <c r="Q135" i="21"/>
  <c r="R135" i="21"/>
  <c r="S135" i="21"/>
  <c r="T135" i="21"/>
  <c r="U135" i="21"/>
  <c r="V135" i="21"/>
  <c r="W135" i="21"/>
  <c r="X135" i="21"/>
  <c r="L135" i="21"/>
  <c r="M124" i="21"/>
  <c r="N124" i="21"/>
  <c r="O124" i="21"/>
  <c r="P124" i="21"/>
  <c r="Q124" i="21"/>
  <c r="R124" i="21"/>
  <c r="S124" i="21"/>
  <c r="T124" i="21"/>
  <c r="U124" i="21"/>
  <c r="V124" i="21"/>
  <c r="W124" i="21"/>
  <c r="X124" i="21"/>
  <c r="L124" i="21"/>
  <c r="M105" i="21"/>
  <c r="N105" i="21"/>
  <c r="O105" i="21"/>
  <c r="P105" i="21"/>
  <c r="Q105" i="21"/>
  <c r="R105" i="21"/>
  <c r="S105" i="21"/>
  <c r="T105" i="21"/>
  <c r="U105" i="21"/>
  <c r="V105" i="21"/>
  <c r="W105" i="21"/>
  <c r="X105" i="21"/>
  <c r="L105" i="21"/>
  <c r="M94" i="21"/>
  <c r="N94" i="21"/>
  <c r="O94" i="21"/>
  <c r="P94" i="21"/>
  <c r="Q94" i="21"/>
  <c r="R94" i="21"/>
  <c r="S94" i="21"/>
  <c r="T94" i="21"/>
  <c r="U94" i="21"/>
  <c r="V94" i="21"/>
  <c r="W94" i="21"/>
  <c r="X94" i="21"/>
  <c r="L94" i="21"/>
  <c r="B53" i="4"/>
  <c r="B15" i="19"/>
  <c r="B15" i="21"/>
  <c r="B54" i="4"/>
  <c r="B16" i="19"/>
  <c r="B16" i="21"/>
  <c r="B55" i="4"/>
  <c r="B17" i="19"/>
  <c r="B17" i="21"/>
  <c r="B56" i="4"/>
  <c r="B57" i="4"/>
  <c r="B58" i="4"/>
  <c r="B59" i="4"/>
  <c r="B21" i="19"/>
  <c r="B21" i="21"/>
  <c r="B35" i="4"/>
  <c r="B36" i="4"/>
  <c r="B37" i="4"/>
  <c r="B38" i="4"/>
  <c r="F4" i="23"/>
  <c r="G5" i="23"/>
  <c r="H5" i="23"/>
  <c r="H35" i="19"/>
  <c r="B61" i="4"/>
  <c r="B23" i="19"/>
  <c r="B23" i="21"/>
  <c r="B42" i="4"/>
  <c r="B60" i="4"/>
  <c r="B22" i="19"/>
  <c r="B22" i="21"/>
  <c r="B40" i="4"/>
  <c r="B41" i="4"/>
  <c r="B62" i="4"/>
  <c r="B24" i="19"/>
  <c r="B24" i="21"/>
  <c r="B52" i="4"/>
  <c r="B51" i="4"/>
  <c r="B13" i="19"/>
  <c r="B13" i="21"/>
  <c r="B50" i="4"/>
  <c r="B49" i="4"/>
  <c r="B11" i="19"/>
  <c r="B11" i="21"/>
  <c r="B48" i="4"/>
  <c r="B10" i="19"/>
  <c r="B10" i="21"/>
  <c r="B47" i="4"/>
  <c r="B9" i="19"/>
  <c r="B9" i="21"/>
  <c r="B46" i="4"/>
  <c r="B8" i="19"/>
  <c r="B8" i="21"/>
  <c r="B43" i="4"/>
  <c r="B39" i="4"/>
  <c r="B34" i="4"/>
  <c r="B33" i="4"/>
  <c r="B32" i="4"/>
  <c r="B31" i="4"/>
  <c r="B30" i="4"/>
  <c r="B29" i="4"/>
  <c r="B28" i="4"/>
  <c r="B27" i="4"/>
  <c r="D40" i="23"/>
  <c r="D39" i="23"/>
  <c r="D36" i="23"/>
  <c r="D42" i="23"/>
  <c r="D29" i="23"/>
  <c r="D26" i="23"/>
  <c r="D23" i="23"/>
  <c r="D20" i="23"/>
  <c r="D17" i="23"/>
  <c r="D340" i="21"/>
  <c r="B18" i="19"/>
  <c r="B18" i="21"/>
  <c r="B19" i="19"/>
  <c r="B19" i="21"/>
  <c r="D87" i="21"/>
  <c r="D209" i="19"/>
  <c r="B20" i="19"/>
  <c r="B20" i="21"/>
  <c r="B14" i="19"/>
  <c r="B14" i="21"/>
  <c r="B12" i="19"/>
  <c r="B12" i="21"/>
  <c r="B7" i="19"/>
  <c r="B7" i="21"/>
  <c r="E104" i="4"/>
  <c r="E107" i="4"/>
  <c r="E110" i="4"/>
  <c r="E103" i="4"/>
  <c r="E106" i="4"/>
  <c r="E109" i="4"/>
  <c r="E102" i="4"/>
  <c r="E105" i="4"/>
  <c r="M13" i="4"/>
  <c r="N13" i="4"/>
  <c r="O13" i="4"/>
  <c r="Q13" i="4"/>
  <c r="R13" i="4"/>
  <c r="S13" i="4"/>
  <c r="T13" i="4"/>
  <c r="U13" i="4"/>
  <c r="V13" i="4"/>
  <c r="W13" i="4"/>
  <c r="X13" i="4"/>
  <c r="L13" i="4"/>
  <c r="L39" i="4"/>
  <c r="M39" i="4"/>
  <c r="L21" i="19"/>
  <c r="L21" i="21"/>
  <c r="N21" i="19"/>
  <c r="N21" i="21"/>
  <c r="M21" i="19"/>
  <c r="M21" i="21"/>
  <c r="O21" i="19"/>
  <c r="O21" i="21"/>
  <c r="P21" i="19"/>
  <c r="P21" i="21"/>
  <c r="Q21" i="19"/>
  <c r="Q21" i="21"/>
  <c r="R21" i="19"/>
  <c r="R21" i="21"/>
  <c r="S21" i="19"/>
  <c r="S21" i="21"/>
  <c r="T21" i="19"/>
  <c r="T21" i="21"/>
  <c r="U21" i="19"/>
  <c r="U21" i="21"/>
  <c r="V21" i="19"/>
  <c r="V21" i="21"/>
  <c r="W21" i="19"/>
  <c r="W21" i="21"/>
  <c r="X21" i="19"/>
  <c r="X21" i="21"/>
  <c r="V213" i="19"/>
  <c r="W213" i="19"/>
  <c r="X213" i="19"/>
  <c r="D213" i="19"/>
  <c r="D210" i="19"/>
  <c r="D206" i="19"/>
  <c r="D228" i="19"/>
  <c r="D223" i="19"/>
  <c r="D222" i="19"/>
  <c r="C269" i="21"/>
  <c r="D263" i="21"/>
  <c r="D262" i="21"/>
  <c r="C260" i="21"/>
  <c r="D257" i="21"/>
  <c r="C255" i="21"/>
  <c r="D251" i="21"/>
  <c r="D250" i="21"/>
  <c r="D249" i="21"/>
  <c r="D245" i="21"/>
  <c r="C243" i="21"/>
  <c r="D147" i="21"/>
  <c r="D205" i="19"/>
  <c r="D306" i="19"/>
  <c r="D298" i="19"/>
  <c r="D537" i="19"/>
  <c r="D212" i="21"/>
  <c r="D538" i="19"/>
  <c r="D120" i="21"/>
  <c r="D540" i="19"/>
  <c r="D133" i="21"/>
  <c r="D539" i="19"/>
  <c r="D103" i="21"/>
  <c r="C534" i="19"/>
  <c r="D536" i="19"/>
  <c r="D79" i="21"/>
  <c r="D28" i="23"/>
  <c r="D248" i="19"/>
  <c r="X293" i="19"/>
  <c r="W293" i="19"/>
  <c r="V293" i="19"/>
  <c r="D293" i="19"/>
  <c r="X282" i="19"/>
  <c r="W282" i="19"/>
  <c r="V282" i="19"/>
  <c r="D282" i="19"/>
  <c r="D288" i="19"/>
  <c r="D277" i="19"/>
  <c r="D254" i="19"/>
  <c r="U257" i="19"/>
  <c r="V257" i="19"/>
  <c r="W257" i="19"/>
  <c r="X257" i="19"/>
  <c r="D257" i="19"/>
  <c r="D237" i="19"/>
  <c r="D237" i="21"/>
  <c r="D267" i="21"/>
  <c r="D223" i="21"/>
  <c r="D218" i="19"/>
  <c r="D216" i="21"/>
  <c r="D253" i="21"/>
  <c r="D145" i="21"/>
  <c r="D529" i="19"/>
  <c r="D329" i="19"/>
  <c r="D530" i="19"/>
  <c r="D149" i="21"/>
  <c r="D531" i="19"/>
  <c r="D235" i="21"/>
  <c r="D266" i="21"/>
  <c r="D532" i="19"/>
  <c r="D122" i="21"/>
  <c r="D523" i="19"/>
  <c r="D342" i="19"/>
  <c r="D524" i="19"/>
  <c r="D233" i="21"/>
  <c r="D264" i="21"/>
  <c r="D525" i="19"/>
  <c r="D234" i="21"/>
  <c r="D526" i="19"/>
  <c r="C520" i="19"/>
  <c r="D518" i="19"/>
  <c r="D517" i="19"/>
  <c r="D117" i="21"/>
  <c r="D514" i="19"/>
  <c r="D513" i="19"/>
  <c r="D209" i="21"/>
  <c r="D510" i="19"/>
  <c r="D75" i="21"/>
  <c r="D25" i="23"/>
  <c r="D509" i="19"/>
  <c r="D74" i="21"/>
  <c r="D506" i="19"/>
  <c r="D505" i="19"/>
  <c r="V491" i="19"/>
  <c r="V227" i="21"/>
  <c r="V228" i="21"/>
  <c r="W491" i="19"/>
  <c r="W227" i="21"/>
  <c r="W228" i="21"/>
  <c r="W262" i="21"/>
  <c r="X491" i="19"/>
  <c r="V495" i="19"/>
  <c r="V230" i="21"/>
  <c r="V231" i="21"/>
  <c r="W495" i="19"/>
  <c r="X495" i="19"/>
  <c r="D499" i="19"/>
  <c r="D130" i="21"/>
  <c r="D495" i="19"/>
  <c r="D230" i="21"/>
  <c r="D491" i="19"/>
  <c r="D227" i="21"/>
  <c r="D487" i="19"/>
  <c r="C482" i="19"/>
  <c r="D500" i="19"/>
  <c r="D496" i="19"/>
  <c r="D492" i="19"/>
  <c r="D488" i="19"/>
  <c r="C464" i="19"/>
  <c r="D480" i="19"/>
  <c r="D476" i="19"/>
  <c r="D68" i="21"/>
  <c r="D472" i="19"/>
  <c r="D468" i="19"/>
  <c r="D461" i="19"/>
  <c r="D114" i="21"/>
  <c r="D460" i="19"/>
  <c r="D113" i="21"/>
  <c r="D456" i="19"/>
  <c r="D455" i="19"/>
  <c r="D451" i="19"/>
  <c r="D206" i="21"/>
  <c r="D450" i="19"/>
  <c r="D205" i="21"/>
  <c r="M461" i="19"/>
  <c r="M114" i="21"/>
  <c r="N461" i="19"/>
  <c r="N114" i="21"/>
  <c r="O461" i="19"/>
  <c r="O114" i="21"/>
  <c r="P461" i="19"/>
  <c r="P114" i="21"/>
  <c r="Q461" i="19"/>
  <c r="Q114" i="21"/>
  <c r="R461" i="19"/>
  <c r="R114" i="21"/>
  <c r="S461" i="19"/>
  <c r="S114" i="21"/>
  <c r="T461" i="19"/>
  <c r="T114" i="21"/>
  <c r="U461" i="19"/>
  <c r="U114" i="21"/>
  <c r="V461" i="19"/>
  <c r="V114" i="21"/>
  <c r="W461" i="19"/>
  <c r="W114" i="21"/>
  <c r="X461" i="19"/>
  <c r="X114" i="21"/>
  <c r="L461" i="19"/>
  <c r="L114" i="21"/>
  <c r="D446" i="19"/>
  <c r="D445" i="19"/>
  <c r="C442" i="19"/>
  <c r="D462" i="19"/>
  <c r="D457" i="19"/>
  <c r="D452" i="19"/>
  <c r="D447" i="19"/>
  <c r="D440" i="19"/>
  <c r="D436" i="19"/>
  <c r="D432" i="19"/>
  <c r="D428" i="19"/>
  <c r="D439" i="19"/>
  <c r="D91" i="21"/>
  <c r="D435" i="19"/>
  <c r="D431" i="19"/>
  <c r="D178" i="21"/>
  <c r="D427" i="19"/>
  <c r="T496" i="19"/>
  <c r="U492" i="19"/>
  <c r="C424" i="19"/>
  <c r="D422" i="19"/>
  <c r="D420" i="19"/>
  <c r="X419" i="19"/>
  <c r="D419" i="19"/>
  <c r="X418" i="19"/>
  <c r="D418" i="19"/>
  <c r="X417" i="19"/>
  <c r="D417" i="19"/>
  <c r="X416" i="19"/>
  <c r="X415" i="19"/>
  <c r="X420" i="19"/>
  <c r="X422" i="19"/>
  <c r="X143" i="19"/>
  <c r="X166" i="19"/>
  <c r="X471" i="19"/>
  <c r="W166" i="19"/>
  <c r="S166" i="19"/>
  <c r="S471" i="19"/>
  <c r="S472" i="19"/>
  <c r="O166" i="19"/>
  <c r="D416" i="19"/>
  <c r="D415" i="19"/>
  <c r="C413" i="19"/>
  <c r="D411" i="19"/>
  <c r="D203" i="21"/>
  <c r="D38" i="23"/>
  <c r="D409" i="19"/>
  <c r="D59" i="21"/>
  <c r="D408" i="19"/>
  <c r="D58" i="21"/>
  <c r="D407" i="19"/>
  <c r="D406" i="19"/>
  <c r="D405" i="19"/>
  <c r="D55" i="21"/>
  <c r="D404" i="19"/>
  <c r="D54" i="21"/>
  <c r="C402" i="19"/>
  <c r="D400" i="19"/>
  <c r="D398" i="19"/>
  <c r="C391" i="19"/>
  <c r="C39" i="21"/>
  <c r="C380" i="19"/>
  <c r="D389" i="19"/>
  <c r="D37" i="21"/>
  <c r="D15" i="23"/>
  <c r="V383" i="19"/>
  <c r="V31" i="21"/>
  <c r="W383" i="19"/>
  <c r="W31" i="21"/>
  <c r="W170" i="21"/>
  <c r="X383" i="19"/>
  <c r="X170" i="21"/>
  <c r="V384" i="19"/>
  <c r="V171" i="21"/>
  <c r="W384" i="19"/>
  <c r="W32" i="21"/>
  <c r="X384" i="19"/>
  <c r="V385" i="19"/>
  <c r="V172" i="21"/>
  <c r="W385" i="19"/>
  <c r="W33" i="21"/>
  <c r="X385" i="19"/>
  <c r="V386" i="19"/>
  <c r="W386" i="19"/>
  <c r="W34" i="21"/>
  <c r="X386" i="19"/>
  <c r="X34" i="21"/>
  <c r="V382" i="19"/>
  <c r="V30" i="21"/>
  <c r="W382" i="19"/>
  <c r="X382" i="19"/>
  <c r="X169" i="21"/>
  <c r="D387" i="19"/>
  <c r="AE15" i="23"/>
  <c r="AF15" i="23"/>
  <c r="D382" i="19"/>
  <c r="D383" i="19"/>
  <c r="D384" i="19"/>
  <c r="D171" i="21"/>
  <c r="D385" i="19"/>
  <c r="D33" i="21"/>
  <c r="D386" i="19"/>
  <c r="X192" i="19"/>
  <c r="W192" i="19"/>
  <c r="W194" i="19"/>
  <c r="W525" i="19"/>
  <c r="V192" i="19"/>
  <c r="S523" i="19"/>
  <c r="I34" i="19"/>
  <c r="X121" i="19"/>
  <c r="X446" i="19"/>
  <c r="W121" i="19"/>
  <c r="W446" i="19"/>
  <c r="V121" i="19"/>
  <c r="V446" i="19"/>
  <c r="X92" i="19"/>
  <c r="X94" i="19"/>
  <c r="W92" i="19"/>
  <c r="W94" i="19"/>
  <c r="V92" i="19"/>
  <c r="V94" i="19"/>
  <c r="U92" i="19"/>
  <c r="U94" i="19"/>
  <c r="T92" i="19"/>
  <c r="T94" i="19"/>
  <c r="S92" i="19"/>
  <c r="S94" i="19"/>
  <c r="R92" i="19"/>
  <c r="R94" i="19"/>
  <c r="Q92" i="19"/>
  <c r="Q94" i="19"/>
  <c r="P92" i="19"/>
  <c r="P94" i="19"/>
  <c r="O92" i="19"/>
  <c r="O94" i="19"/>
  <c r="N92" i="19"/>
  <c r="N94" i="19"/>
  <c r="M92" i="19"/>
  <c r="M94" i="19"/>
  <c r="L92" i="19"/>
  <c r="L94" i="19"/>
  <c r="D60" i="19"/>
  <c r="D397" i="19"/>
  <c r="D59" i="19"/>
  <c r="D396" i="19"/>
  <c r="D188" i="21"/>
  <c r="D58" i="19"/>
  <c r="D395" i="19"/>
  <c r="D57" i="19"/>
  <c r="D394" i="19"/>
  <c r="D186" i="21"/>
  <c r="D56" i="19"/>
  <c r="D393" i="19"/>
  <c r="D185" i="21"/>
  <c r="D55" i="19"/>
  <c r="L20" i="4"/>
  <c r="L22" i="4"/>
  <c r="L21" i="4"/>
  <c r="L23" i="4"/>
  <c r="L24" i="4"/>
  <c r="I31" i="19"/>
  <c r="X49" i="19"/>
  <c r="X51" i="19"/>
  <c r="W49" i="19"/>
  <c r="W51" i="19"/>
  <c r="V49" i="19"/>
  <c r="V51" i="19"/>
  <c r="U49" i="19"/>
  <c r="U51" i="19"/>
  <c r="T49" i="19"/>
  <c r="T51" i="19"/>
  <c r="S49" i="19"/>
  <c r="S51" i="19"/>
  <c r="R49" i="19"/>
  <c r="R51" i="19"/>
  <c r="Q49" i="19"/>
  <c r="Q51" i="19"/>
  <c r="P49" i="19"/>
  <c r="P51" i="19"/>
  <c r="O49" i="19"/>
  <c r="O51" i="19"/>
  <c r="N49" i="19"/>
  <c r="N51" i="19"/>
  <c r="M49" i="19"/>
  <c r="M51" i="19"/>
  <c r="L49" i="19"/>
  <c r="L51" i="19"/>
  <c r="K48" i="19"/>
  <c r="K47" i="19"/>
  <c r="K46" i="19"/>
  <c r="K45" i="19"/>
  <c r="K44" i="19"/>
  <c r="K49" i="19"/>
  <c r="L30" i="4"/>
  <c r="L41" i="4"/>
  <c r="L40" i="4"/>
  <c r="L499" i="19"/>
  <c r="L130" i="21"/>
  <c r="L131" i="21"/>
  <c r="M173" i="21"/>
  <c r="Q34" i="21"/>
  <c r="M169" i="21"/>
  <c r="M492" i="19"/>
  <c r="S30" i="21"/>
  <c r="X152" i="19"/>
  <c r="R170" i="21"/>
  <c r="O169" i="21"/>
  <c r="W152" i="19"/>
  <c r="U152" i="19"/>
  <c r="S173" i="21"/>
  <c r="U34" i="21"/>
  <c r="P172" i="21"/>
  <c r="AE25" i="23"/>
  <c r="AF25" i="23"/>
  <c r="I5" i="23"/>
  <c r="AI5" i="23"/>
  <c r="AH5" i="23"/>
  <c r="L42" i="4"/>
  <c r="L43" i="4"/>
  <c r="M20" i="4"/>
  <c r="N20" i="4"/>
  <c r="O20" i="4"/>
  <c r="S172" i="21"/>
  <c r="L170" i="21"/>
  <c r="R173" i="21"/>
  <c r="O173" i="21"/>
  <c r="AE13" i="23"/>
  <c r="AF13" i="23"/>
  <c r="O523" i="19"/>
  <c r="O492" i="19"/>
  <c r="S170" i="21"/>
  <c r="L181" i="19"/>
  <c r="L186" i="19"/>
  <c r="Q169" i="21"/>
  <c r="L492" i="19"/>
  <c r="R171" i="21"/>
  <c r="O170" i="21"/>
  <c r="T492" i="19"/>
  <c r="S496" i="19"/>
  <c r="W492" i="19"/>
  <c r="V492" i="19"/>
  <c r="N34" i="21"/>
  <c r="D201" i="21"/>
  <c r="D183" i="21"/>
  <c r="D479" i="19"/>
  <c r="D100" i="21"/>
  <c r="D471" i="19"/>
  <c r="D220" i="21"/>
  <c r="Q152" i="19"/>
  <c r="W523" i="19"/>
  <c r="S152" i="19"/>
  <c r="O152" i="19"/>
  <c r="T152" i="19"/>
  <c r="R152" i="19"/>
  <c r="P152" i="19"/>
  <c r="N152" i="19"/>
  <c r="D176" i="21"/>
  <c r="D35" i="23"/>
  <c r="V33" i="21"/>
  <c r="X173" i="21"/>
  <c r="T194" i="19"/>
  <c r="T525" i="19"/>
  <c r="T234" i="21"/>
  <c r="M152" i="19"/>
  <c r="X492" i="19"/>
  <c r="M228" i="21"/>
  <c r="M262" i="21"/>
  <c r="L468" i="19"/>
  <c r="L319" i="19"/>
  <c r="L500" i="19"/>
  <c r="D172" i="21"/>
  <c r="X31" i="21"/>
  <c r="X30" i="21"/>
  <c r="T228" i="21"/>
  <c r="S171" i="21"/>
  <c r="W193" i="19"/>
  <c r="W524" i="19"/>
  <c r="W233" i="21"/>
  <c r="W225" i="19"/>
  <c r="D32" i="21"/>
  <c r="T34" i="21"/>
  <c r="T30" i="21"/>
  <c r="T169" i="21"/>
  <c r="P34" i="21"/>
  <c r="P173" i="21"/>
  <c r="P387" i="19"/>
  <c r="P389" i="19"/>
  <c r="P169" i="21"/>
  <c r="P174" i="21"/>
  <c r="P176" i="21"/>
  <c r="U193" i="19"/>
  <c r="U524" i="19"/>
  <c r="U233" i="21"/>
  <c r="M32" i="21"/>
  <c r="M171" i="21"/>
  <c r="R30" i="21"/>
  <c r="N169" i="21"/>
  <c r="L488" i="19"/>
  <c r="L333" i="19"/>
  <c r="L336" i="19"/>
  <c r="O228" i="21"/>
  <c r="O262" i="21"/>
  <c r="O289" i="21"/>
  <c r="P496" i="19"/>
  <c r="D194" i="21"/>
  <c r="C52" i="21"/>
  <c r="P227" i="21"/>
  <c r="P228" i="21"/>
  <c r="P222" i="19"/>
  <c r="J5" i="23"/>
  <c r="K5" i="23"/>
  <c r="X227" i="21"/>
  <c r="X228" i="21"/>
  <c r="X222" i="19"/>
  <c r="P492" i="19"/>
  <c r="D42" i="21"/>
  <c r="D44" i="21"/>
  <c r="W171" i="21"/>
  <c r="V170" i="21"/>
  <c r="C28" i="21"/>
  <c r="D167" i="21"/>
  <c r="D225" i="19"/>
  <c r="R492" i="19"/>
  <c r="L11" i="4"/>
  <c r="L12" i="4"/>
  <c r="L14" i="4"/>
  <c r="L15" i="4"/>
  <c r="D196" i="21"/>
  <c r="V496" i="19"/>
  <c r="S231" i="21"/>
  <c r="P193" i="19"/>
  <c r="P524" i="19"/>
  <c r="P233" i="21"/>
  <c r="AE18" i="23"/>
  <c r="AF18" i="23"/>
  <c r="AE20" i="23"/>
  <c r="AF20" i="23"/>
  <c r="AG5" i="23"/>
  <c r="M193" i="19"/>
  <c r="M524" i="19"/>
  <c r="M194" i="19"/>
  <c r="M525" i="19"/>
  <c r="M234" i="21"/>
  <c r="S194" i="19"/>
  <c r="S525" i="19"/>
  <c r="S526" i="19"/>
  <c r="S145" i="21"/>
  <c r="O194" i="19"/>
  <c r="O525" i="19"/>
  <c r="AE19" i="23"/>
  <c r="AF19" i="23"/>
  <c r="AE22" i="23"/>
  <c r="AF22" i="23"/>
  <c r="AE21" i="23"/>
  <c r="AF21" i="23"/>
  <c r="U225" i="19"/>
  <c r="U264" i="21"/>
  <c r="U290" i="21"/>
  <c r="L11" i="19"/>
  <c r="L11" i="21"/>
  <c r="L60" i="4"/>
  <c r="L22" i="19"/>
  <c r="L22" i="21"/>
  <c r="L42" i="21"/>
  <c r="L43" i="21"/>
  <c r="L188" i="21"/>
  <c r="S234" i="21"/>
  <c r="S226" i="19"/>
  <c r="L9" i="4"/>
  <c r="L18" i="4"/>
  <c r="AJ5" i="23"/>
  <c r="M186" i="21"/>
  <c r="L41" i="21"/>
  <c r="L61" i="19"/>
  <c r="L70" i="19"/>
  <c r="L44" i="21"/>
  <c r="L45" i="21"/>
  <c r="L189" i="21"/>
  <c r="L187" i="21"/>
  <c r="AK5" i="23"/>
  <c r="S265" i="21"/>
  <c r="S310" i="21"/>
  <c r="L186" i="21"/>
  <c r="M42" i="21"/>
  <c r="N394" i="19"/>
  <c r="N42" i="21"/>
  <c r="M61" i="19"/>
  <c r="M70" i="19"/>
  <c r="L185" i="21"/>
  <c r="M45" i="21"/>
  <c r="M189" i="21"/>
  <c r="N397" i="19"/>
  <c r="O394" i="19"/>
  <c r="O42" i="21"/>
  <c r="O397" i="19"/>
  <c r="O189" i="21"/>
  <c r="O186" i="21"/>
  <c r="M41" i="21"/>
  <c r="M185" i="21"/>
  <c r="P396" i="19"/>
  <c r="O45" i="21"/>
  <c r="Q393" i="19"/>
  <c r="W222" i="19"/>
  <c r="O222" i="19"/>
  <c r="L447" i="19"/>
  <c r="L326" i="19"/>
  <c r="L331" i="19"/>
  <c r="L338" i="19"/>
  <c r="D258" i="21"/>
  <c r="Q264" i="21"/>
  <c r="Q290" i="21"/>
  <c r="Q225" i="19"/>
  <c r="O225" i="19"/>
  <c r="O264" i="21"/>
  <c r="O290" i="21"/>
  <c r="L264" i="21"/>
  <c r="L290" i="21"/>
  <c r="L225" i="19"/>
  <c r="M187" i="21"/>
  <c r="M43" i="21"/>
  <c r="L149" i="19"/>
  <c r="D43" i="21"/>
  <c r="D187" i="21"/>
  <c r="S104" i="19"/>
  <c r="S431" i="19"/>
  <c r="S432" i="19"/>
  <c r="S389" i="19"/>
  <c r="L222" i="19"/>
  <c r="L262" i="21"/>
  <c r="X472" i="19"/>
  <c r="X220" i="21"/>
  <c r="X221" i="21"/>
  <c r="N264" i="21"/>
  <c r="N290" i="21"/>
  <c r="N225" i="19"/>
  <c r="S185" i="21"/>
  <c r="S41" i="21"/>
  <c r="K51" i="19"/>
  <c r="P225" i="19"/>
  <c r="P264" i="21"/>
  <c r="P290" i="21"/>
  <c r="Q58" i="19"/>
  <c r="P395" i="19"/>
  <c r="P61" i="19"/>
  <c r="P70" i="19"/>
  <c r="M226" i="19"/>
  <c r="M265" i="21"/>
  <c r="M310" i="21"/>
  <c r="U222" i="19"/>
  <c r="U262" i="21"/>
  <c r="R57" i="19"/>
  <c r="Q394" i="19"/>
  <c r="P262" i="21"/>
  <c r="P331" i="21"/>
  <c r="N186" i="21"/>
  <c r="P104" i="19"/>
  <c r="P431" i="19"/>
  <c r="P432" i="19"/>
  <c r="R194" i="19"/>
  <c r="R525" i="19"/>
  <c r="R234" i="21"/>
  <c r="D197" i="21"/>
  <c r="L230" i="21"/>
  <c r="L231" i="21"/>
  <c r="L263" i="21"/>
  <c r="O171" i="21"/>
  <c r="L322" i="19"/>
  <c r="D35" i="21"/>
  <c r="D61" i="21"/>
  <c r="N523" i="19"/>
  <c r="D200" i="21"/>
  <c r="U33" i="21"/>
  <c r="Q396" i="19"/>
  <c r="P394" i="19"/>
  <c r="N395" i="19"/>
  <c r="M11" i="4"/>
  <c r="M12" i="4"/>
  <c r="M16" i="4"/>
  <c r="L16" i="4"/>
  <c r="L17" i="4"/>
  <c r="M17" i="4"/>
  <c r="W173" i="21"/>
  <c r="Q194" i="19"/>
  <c r="Q525" i="19"/>
  <c r="Q234" i="21"/>
  <c r="L171" i="21"/>
  <c r="T171" i="21"/>
  <c r="R172" i="21"/>
  <c r="R174" i="21"/>
  <c r="R176" i="21"/>
  <c r="D174" i="21"/>
  <c r="M230" i="21"/>
  <c r="M231" i="21"/>
  <c r="M223" i="19"/>
  <c r="S169" i="21"/>
  <c r="S174" i="21"/>
  <c r="S176" i="21"/>
  <c r="L169" i="21"/>
  <c r="S59" i="19"/>
  <c r="R393" i="19"/>
  <c r="O61" i="19"/>
  <c r="O70" i="19"/>
  <c r="P393" i="19"/>
  <c r="N393" i="19"/>
  <c r="O395" i="19"/>
  <c r="W264" i="21"/>
  <c r="W290" i="21"/>
  <c r="AE12" i="23"/>
  <c r="AF12" i="23"/>
  <c r="M170" i="21"/>
  <c r="R523" i="19"/>
  <c r="R526" i="19"/>
  <c r="R145" i="21"/>
  <c r="V32" i="21"/>
  <c r="T166" i="19"/>
  <c r="T471" i="19"/>
  <c r="T472" i="19"/>
  <c r="N166" i="19"/>
  <c r="V166" i="19"/>
  <c r="V471" i="19"/>
  <c r="V220" i="21"/>
  <c r="V221" i="21"/>
  <c r="L7" i="4"/>
  <c r="L387" i="19"/>
  <c r="Q523" i="19"/>
  <c r="Q526" i="19"/>
  <c r="Q145" i="21"/>
  <c r="N61" i="19"/>
  <c r="N70" i="19"/>
  <c r="O393" i="19"/>
  <c r="N396" i="19"/>
  <c r="O396" i="19"/>
  <c r="L190" i="21"/>
  <c r="L192" i="21"/>
  <c r="M222" i="19"/>
  <c r="N194" i="19"/>
  <c r="N525" i="19"/>
  <c r="N234" i="21"/>
  <c r="N226" i="19"/>
  <c r="P194" i="19"/>
  <c r="P525" i="19"/>
  <c r="P234" i="21"/>
  <c r="R387" i="19"/>
  <c r="W172" i="21"/>
  <c r="P35" i="21"/>
  <c r="P37" i="21"/>
  <c r="P280" i="21"/>
  <c r="P142" i="19"/>
  <c r="O156" i="19"/>
  <c r="M151" i="19"/>
  <c r="L324" i="19"/>
  <c r="O151" i="19"/>
  <c r="N151" i="19"/>
  <c r="V223" i="19"/>
  <c r="V263" i="21"/>
  <c r="V298" i="21"/>
  <c r="T263" i="21"/>
  <c r="T332" i="21"/>
  <c r="T223" i="19"/>
  <c r="L187" i="19"/>
  <c r="L513" i="19"/>
  <c r="L188" i="19"/>
  <c r="L509" i="19"/>
  <c r="O263" i="21"/>
  <c r="O332" i="21"/>
  <c r="O223" i="19"/>
  <c r="M179" i="19"/>
  <c r="M181" i="19"/>
  <c r="M186" i="19"/>
  <c r="M487" i="19"/>
  <c r="M488" i="19"/>
  <c r="R263" i="21"/>
  <c r="R223" i="19"/>
  <c r="L223" i="19"/>
  <c r="V262" i="21"/>
  <c r="V289" i="21"/>
  <c r="V222" i="19"/>
  <c r="S289" i="21"/>
  <c r="S331" i="21"/>
  <c r="S222" i="19"/>
  <c r="R496" i="19"/>
  <c r="X262" i="21"/>
  <c r="X331" i="21"/>
  <c r="O496" i="19"/>
  <c r="S492" i="19"/>
  <c r="L19" i="4"/>
  <c r="L10" i="4"/>
  <c r="L8" i="4"/>
  <c r="M233" i="21"/>
  <c r="M526" i="19"/>
  <c r="M145" i="21"/>
  <c r="S223" i="19"/>
  <c r="S263" i="21"/>
  <c r="U56" i="19"/>
  <c r="T393" i="19"/>
  <c r="Q41" i="21"/>
  <c r="Q185" i="21"/>
  <c r="L46" i="21"/>
  <c r="L48" i="21"/>
  <c r="L281" i="21"/>
  <c r="K359" i="19"/>
  <c r="K360" i="19"/>
  <c r="W169" i="21"/>
  <c r="W30" i="21"/>
  <c r="W35" i="21"/>
  <c r="W37" i="21"/>
  <c r="W280" i="21"/>
  <c r="W387" i="19"/>
  <c r="D41" i="23"/>
  <c r="D252" i="21"/>
  <c r="T233" i="21"/>
  <c r="T526" i="19"/>
  <c r="T145" i="21"/>
  <c r="L234" i="21"/>
  <c r="L526" i="19"/>
  <c r="L145" i="21"/>
  <c r="U496" i="19"/>
  <c r="U230" i="21"/>
  <c r="U231" i="21"/>
  <c r="P188" i="21"/>
  <c r="P44" i="21"/>
  <c r="N265" i="21"/>
  <c r="N310" i="21"/>
  <c r="O234" i="21"/>
  <c r="O526" i="19"/>
  <c r="O145" i="21"/>
  <c r="M156" i="19"/>
  <c r="M149" i="19"/>
  <c r="M166" i="19"/>
  <c r="W234" i="21"/>
  <c r="W526" i="19"/>
  <c r="W145" i="21"/>
  <c r="D31" i="21"/>
  <c r="AE11" i="23"/>
  <c r="AF11" i="23"/>
  <c r="D170" i="21"/>
  <c r="D192" i="21"/>
  <c r="D37" i="23"/>
  <c r="D48" i="21"/>
  <c r="P43" i="21"/>
  <c r="P187" i="21"/>
  <c r="L74" i="21"/>
  <c r="L75" i="21"/>
  <c r="L247" i="21"/>
  <c r="L510" i="19"/>
  <c r="W471" i="19"/>
  <c r="P397" i="19"/>
  <c r="P398" i="19"/>
  <c r="P400" i="19"/>
  <c r="P114" i="19"/>
  <c r="P450" i="19"/>
  <c r="P41" i="21"/>
  <c r="P185" i="21"/>
  <c r="Q166" i="19"/>
  <c r="O471" i="19"/>
  <c r="O160" i="19"/>
  <c r="U166" i="19"/>
  <c r="Q60" i="19"/>
  <c r="D265" i="21"/>
  <c r="D226" i="19"/>
  <c r="R188" i="21"/>
  <c r="R44" i="21"/>
  <c r="N45" i="21"/>
  <c r="N189" i="21"/>
  <c r="R166" i="19"/>
  <c r="N492" i="19"/>
  <c r="N227" i="21"/>
  <c r="N228" i="21"/>
  <c r="O33" i="21"/>
  <c r="O35" i="21"/>
  <c r="O37" i="21"/>
  <c r="O387" i="19"/>
  <c r="O172" i="21"/>
  <c r="O174" i="21"/>
  <c r="O176" i="21"/>
  <c r="N171" i="21"/>
  <c r="N172" i="21"/>
  <c r="N174" i="21"/>
  <c r="N176" i="21"/>
  <c r="N32" i="21"/>
  <c r="N387" i="19"/>
  <c r="L450" i="19"/>
  <c r="O149" i="19"/>
  <c r="S220" i="21"/>
  <c r="S221" i="21"/>
  <c r="D41" i="21"/>
  <c r="V523" i="19"/>
  <c r="V193" i="19"/>
  <c r="V524" i="19"/>
  <c r="V233" i="21"/>
  <c r="V194" i="19"/>
  <c r="V525" i="19"/>
  <c r="V234" i="21"/>
  <c r="V387" i="19"/>
  <c r="V169" i="21"/>
  <c r="D46" i="21"/>
  <c r="D190" i="21"/>
  <c r="U523" i="19"/>
  <c r="U194" i="19"/>
  <c r="U525" i="19"/>
  <c r="U234" i="21"/>
  <c r="V472" i="19"/>
  <c r="D189" i="21"/>
  <c r="D45" i="21"/>
  <c r="D169" i="21"/>
  <c r="D30" i="21"/>
  <c r="S35" i="21"/>
  <c r="S37" i="21"/>
  <c r="R35" i="21"/>
  <c r="R37" i="21"/>
  <c r="R280" i="21"/>
  <c r="Q171" i="21"/>
  <c r="Q32" i="21"/>
  <c r="X523" i="19"/>
  <c r="X193" i="19"/>
  <c r="X524" i="19"/>
  <c r="X233" i="21"/>
  <c r="X194" i="19"/>
  <c r="X525" i="19"/>
  <c r="X234" i="21"/>
  <c r="X171" i="21"/>
  <c r="X32" i="21"/>
  <c r="X387" i="19"/>
  <c r="Q170" i="21"/>
  <c r="Q387" i="19"/>
  <c r="Q31" i="21"/>
  <c r="L174" i="21"/>
  <c r="L176" i="21"/>
  <c r="U170" i="21"/>
  <c r="U174" i="21"/>
  <c r="U176" i="21"/>
  <c r="U31" i="21"/>
  <c r="T222" i="19"/>
  <c r="T262" i="21"/>
  <c r="T289" i="21"/>
  <c r="AE14" i="23"/>
  <c r="AF14" i="23"/>
  <c r="D34" i="21"/>
  <c r="D173" i="21"/>
  <c r="X230" i="21"/>
  <c r="X231" i="21"/>
  <c r="X496" i="19"/>
  <c r="S264" i="21"/>
  <c r="S290" i="21"/>
  <c r="S225" i="19"/>
  <c r="Q230" i="21"/>
  <c r="Q231" i="21"/>
  <c r="Q496" i="19"/>
  <c r="U387" i="19"/>
  <c r="U30" i="21"/>
  <c r="T265" i="21"/>
  <c r="T310" i="21"/>
  <c r="T226" i="19"/>
  <c r="V34" i="21"/>
  <c r="V35" i="21"/>
  <c r="V37" i="21"/>
  <c r="V280" i="21"/>
  <c r="V173" i="21"/>
  <c r="D56" i="21"/>
  <c r="D198" i="21"/>
  <c r="W496" i="19"/>
  <c r="W230" i="21"/>
  <c r="W231" i="21"/>
  <c r="Q492" i="19"/>
  <c r="Q227" i="21"/>
  <c r="Q228" i="21"/>
  <c r="Q262" i="21"/>
  <c r="Q331" i="21"/>
  <c r="Q142" i="19"/>
  <c r="Q156" i="19"/>
  <c r="Q149" i="19"/>
  <c r="P151" i="19"/>
  <c r="M33" i="21"/>
  <c r="M35" i="21"/>
  <c r="M37" i="21"/>
  <c r="M172" i="21"/>
  <c r="M174" i="21"/>
  <c r="M176" i="21"/>
  <c r="M387" i="19"/>
  <c r="X172" i="21"/>
  <c r="X33" i="21"/>
  <c r="D57" i="21"/>
  <c r="D199" i="21"/>
  <c r="R225" i="19"/>
  <c r="R264" i="21"/>
  <c r="R290" i="21"/>
  <c r="N230" i="21"/>
  <c r="N231" i="21"/>
  <c r="N263" i="21"/>
  <c r="N332" i="21"/>
  <c r="N496" i="19"/>
  <c r="T387" i="19"/>
  <c r="T172" i="21"/>
  <c r="T174" i="21"/>
  <c r="T176" i="21"/>
  <c r="T33" i="21"/>
  <c r="T35" i="21"/>
  <c r="T37" i="21"/>
  <c r="T280" i="21"/>
  <c r="N33" i="21"/>
  <c r="N298" i="21"/>
  <c r="W289" i="21"/>
  <c r="W331" i="21"/>
  <c r="M331" i="21"/>
  <c r="M289" i="21"/>
  <c r="R262" i="21"/>
  <c r="M263" i="21"/>
  <c r="T298" i="21"/>
  <c r="P263" i="21"/>
  <c r="O331" i="21"/>
  <c r="D217" i="19"/>
  <c r="M14" i="4"/>
  <c r="M15" i="4"/>
  <c r="M9" i="4"/>
  <c r="L13" i="19"/>
  <c r="L13" i="21"/>
  <c r="E108" i="4"/>
  <c r="L32" i="4"/>
  <c r="L31" i="4"/>
  <c r="M30" i="4"/>
  <c r="M32" i="4"/>
  <c r="M40" i="4"/>
  <c r="N39" i="4"/>
  <c r="P20" i="4"/>
  <c r="N11" i="4"/>
  <c r="N12" i="4"/>
  <c r="L20" i="21"/>
  <c r="L271" i="19"/>
  <c r="L61" i="4"/>
  <c r="M21" i="4"/>
  <c r="Q289" i="21"/>
  <c r="Q222" i="19"/>
  <c r="T331" i="21"/>
  <c r="L50" i="21"/>
  <c r="L280" i="21"/>
  <c r="N156" i="19"/>
  <c r="N149" i="19"/>
  <c r="M7" i="4"/>
  <c r="W174" i="21"/>
  <c r="W176" i="21"/>
  <c r="R389" i="19"/>
  <c r="R104" i="19"/>
  <c r="R431" i="19"/>
  <c r="R432" i="19"/>
  <c r="O41" i="21"/>
  <c r="O185" i="21"/>
  <c r="N398" i="19"/>
  <c r="N400" i="19"/>
  <c r="N114" i="19"/>
  <c r="N450" i="19"/>
  <c r="N41" i="21"/>
  <c r="N43" i="21"/>
  <c r="N44" i="21"/>
  <c r="N46" i="21"/>
  <c r="N48" i="21"/>
  <c r="N281" i="21"/>
  <c r="N185" i="21"/>
  <c r="N187" i="21"/>
  <c r="O188" i="21"/>
  <c r="O44" i="21"/>
  <c r="AE17" i="23"/>
  <c r="AF17" i="23"/>
  <c r="D19" i="23"/>
  <c r="V526" i="19"/>
  <c r="V145" i="21"/>
  <c r="N188" i="21"/>
  <c r="O187" i="21"/>
  <c r="O43" i="21"/>
  <c r="X174" i="21"/>
  <c r="X176" i="21"/>
  <c r="P265" i="21"/>
  <c r="P310" i="21"/>
  <c r="P226" i="19"/>
  <c r="P186" i="21"/>
  <c r="P42" i="21"/>
  <c r="Q35" i="21"/>
  <c r="Q37" i="21"/>
  <c r="Q280" i="21"/>
  <c r="V332" i="21"/>
  <c r="Q188" i="21"/>
  <c r="Q44" i="21"/>
  <c r="X223" i="21"/>
  <c r="X257" i="21"/>
  <c r="X258" i="21"/>
  <c r="L389" i="19"/>
  <c r="L104" i="19"/>
  <c r="L431" i="19"/>
  <c r="L432" i="19"/>
  <c r="R41" i="21"/>
  <c r="R185" i="21"/>
  <c r="S57" i="19"/>
  <c r="R394" i="19"/>
  <c r="L471" i="19"/>
  <c r="P526" i="19"/>
  <c r="P145" i="21"/>
  <c r="X289" i="21"/>
  <c r="T220" i="21"/>
  <c r="T221" i="21"/>
  <c r="T223" i="21"/>
  <c r="M44" i="21"/>
  <c r="M46" i="21"/>
  <c r="M48" i="21"/>
  <c r="M281" i="21"/>
  <c r="M188" i="21"/>
  <c r="M190" i="21"/>
  <c r="M192" i="21"/>
  <c r="T59" i="19"/>
  <c r="S396" i="19"/>
  <c r="R226" i="19"/>
  <c r="R265" i="21"/>
  <c r="R310" i="21"/>
  <c r="U289" i="21"/>
  <c r="U331" i="21"/>
  <c r="L331" i="21"/>
  <c r="L289" i="21"/>
  <c r="Q42" i="21"/>
  <c r="Q186" i="21"/>
  <c r="R58" i="19"/>
  <c r="Q395" i="19"/>
  <c r="P289" i="21"/>
  <c r="O398" i="19"/>
  <c r="O400" i="19"/>
  <c r="O114" i="19"/>
  <c r="O450" i="19"/>
  <c r="V223" i="21"/>
  <c r="V257" i="21"/>
  <c r="V258" i="21"/>
  <c r="Q226" i="19"/>
  <c r="Q265" i="21"/>
  <c r="Q310" i="21"/>
  <c r="N526" i="19"/>
  <c r="N145" i="21"/>
  <c r="L340" i="19"/>
  <c r="L343" i="19"/>
  <c r="L346" i="19"/>
  <c r="M509" i="19"/>
  <c r="M187" i="19"/>
  <c r="M513" i="19"/>
  <c r="N223" i="19"/>
  <c r="L332" i="21"/>
  <c r="L298" i="21"/>
  <c r="V331" i="21"/>
  <c r="M185" i="19"/>
  <c r="L517" i="19"/>
  <c r="O298" i="21"/>
  <c r="R332" i="21"/>
  <c r="R298" i="21"/>
  <c r="L514" i="19"/>
  <c r="L209" i="21"/>
  <c r="L210" i="21"/>
  <c r="N176" i="19"/>
  <c r="M499" i="19"/>
  <c r="M280" i="21"/>
  <c r="O280" i="21"/>
  <c r="T389" i="19"/>
  <c r="T104" i="19"/>
  <c r="T431" i="19"/>
  <c r="T432" i="19"/>
  <c r="W263" i="21"/>
  <c r="W223" i="19"/>
  <c r="U35" i="21"/>
  <c r="U37" i="21"/>
  <c r="X223" i="19"/>
  <c r="X263" i="21"/>
  <c r="X35" i="21"/>
  <c r="X37" i="21"/>
  <c r="U526" i="19"/>
  <c r="U145" i="21"/>
  <c r="O265" i="21"/>
  <c r="O310" i="21"/>
  <c r="O226" i="19"/>
  <c r="W389" i="19"/>
  <c r="W104" i="19"/>
  <c r="W431" i="19"/>
  <c r="W432" i="19"/>
  <c r="M225" i="19"/>
  <c r="M264" i="21"/>
  <c r="M290" i="21"/>
  <c r="U265" i="21"/>
  <c r="U310" i="21"/>
  <c r="U226" i="19"/>
  <c r="X265" i="21"/>
  <c r="X310" i="21"/>
  <c r="X226" i="19"/>
  <c r="U471" i="19"/>
  <c r="L226" i="19"/>
  <c r="L265" i="21"/>
  <c r="L310" i="21"/>
  <c r="X389" i="19"/>
  <c r="X104" i="19"/>
  <c r="X431" i="19"/>
  <c r="X432" i="19"/>
  <c r="O389" i="19"/>
  <c r="O104" i="19"/>
  <c r="O431" i="19"/>
  <c r="O432" i="19"/>
  <c r="W265" i="21"/>
  <c r="W310" i="21"/>
  <c r="W226" i="19"/>
  <c r="S280" i="21"/>
  <c r="Q104" i="19"/>
  <c r="Q431" i="19"/>
  <c r="Q432" i="19"/>
  <c r="Q389" i="19"/>
  <c r="X225" i="19"/>
  <c r="X264" i="21"/>
  <c r="X290" i="21"/>
  <c r="V174" i="21"/>
  <c r="V176" i="21"/>
  <c r="AE16" i="23"/>
  <c r="AF16" i="23"/>
  <c r="D16" i="23"/>
  <c r="T185" i="21"/>
  <c r="T41" i="21"/>
  <c r="Q223" i="19"/>
  <c r="Q263" i="21"/>
  <c r="Q174" i="21"/>
  <c r="Q176" i="21"/>
  <c r="X526" i="19"/>
  <c r="X145" i="21"/>
  <c r="V389" i="19"/>
  <c r="V104" i="19"/>
  <c r="V431" i="19"/>
  <c r="V432" i="19"/>
  <c r="N222" i="19"/>
  <c r="N262" i="21"/>
  <c r="N471" i="19"/>
  <c r="N160" i="19"/>
  <c r="O220" i="21"/>
  <c r="O221" i="21"/>
  <c r="O472" i="19"/>
  <c r="W472" i="19"/>
  <c r="W220" i="21"/>
  <c r="W221" i="21"/>
  <c r="M160" i="19"/>
  <c r="M471" i="19"/>
  <c r="T264" i="21"/>
  <c r="T290" i="21"/>
  <c r="T225" i="19"/>
  <c r="V56" i="19"/>
  <c r="U393" i="19"/>
  <c r="R142" i="19"/>
  <c r="Q151" i="19"/>
  <c r="Q160" i="19"/>
  <c r="V226" i="19"/>
  <c r="V265" i="21"/>
  <c r="V310" i="21"/>
  <c r="N104" i="19"/>
  <c r="N431" i="19"/>
  <c r="N432" i="19"/>
  <c r="N389" i="19"/>
  <c r="P45" i="21"/>
  <c r="P189" i="21"/>
  <c r="P190" i="21"/>
  <c r="P192" i="21"/>
  <c r="Q471" i="19"/>
  <c r="S332" i="21"/>
  <c r="S298" i="21"/>
  <c r="M389" i="19"/>
  <c r="M104" i="19"/>
  <c r="M431" i="19"/>
  <c r="M432" i="19"/>
  <c r="U389" i="19"/>
  <c r="U104" i="19"/>
  <c r="U431" i="19"/>
  <c r="U432" i="19"/>
  <c r="S223" i="21"/>
  <c r="S257" i="21"/>
  <c r="S258" i="21"/>
  <c r="R471" i="19"/>
  <c r="P156" i="19"/>
  <c r="P149" i="19"/>
  <c r="P166" i="19"/>
  <c r="V225" i="19"/>
  <c r="V264" i="21"/>
  <c r="V290" i="21"/>
  <c r="N35" i="21"/>
  <c r="N37" i="21"/>
  <c r="R60" i="19"/>
  <c r="Q397" i="19"/>
  <c r="Q61" i="19"/>
  <c r="Q70" i="19"/>
  <c r="U223" i="19"/>
  <c r="U263" i="21"/>
  <c r="P298" i="21"/>
  <c r="P332" i="21"/>
  <c r="M298" i="21"/>
  <c r="M332" i="21"/>
  <c r="R289" i="21"/>
  <c r="R331" i="21"/>
  <c r="N9" i="4"/>
  <c r="N8" i="4"/>
  <c r="N16" i="4"/>
  <c r="N17" i="4"/>
  <c r="N7" i="4"/>
  <c r="N14" i="4"/>
  <c r="N15" i="4"/>
  <c r="O11" i="4"/>
  <c r="O12" i="4"/>
  <c r="P11" i="4"/>
  <c r="P12" i="4"/>
  <c r="N21" i="4"/>
  <c r="L12" i="19"/>
  <c r="L54" i="4"/>
  <c r="L47" i="4"/>
  <c r="L46" i="4"/>
  <c r="L8" i="19"/>
  <c r="L8" i="21"/>
  <c r="L7" i="21"/>
  <c r="M155" i="19"/>
  <c r="M148" i="19"/>
  <c r="M158" i="19"/>
  <c r="M20" i="21"/>
  <c r="L23" i="19"/>
  <c r="L23" i="21"/>
  <c r="L62" i="4"/>
  <c r="L24" i="19"/>
  <c r="M18" i="4"/>
  <c r="M19" i="4"/>
  <c r="M10" i="4"/>
  <c r="M23" i="4"/>
  <c r="M22" i="4"/>
  <c r="N22" i="4"/>
  <c r="M8" i="4"/>
  <c r="N32" i="4"/>
  <c r="O39" i="4"/>
  <c r="N40" i="4"/>
  <c r="L537" i="19"/>
  <c r="L212" i="21"/>
  <c r="L298" i="19"/>
  <c r="M11" i="19"/>
  <c r="M61" i="4"/>
  <c r="M60" i="4"/>
  <c r="M22" i="19"/>
  <c r="M22" i="21"/>
  <c r="M13" i="19"/>
  <c r="M13" i="21"/>
  <c r="L336" i="21"/>
  <c r="L335" i="21"/>
  <c r="L87" i="21"/>
  <c r="L209" i="19"/>
  <c r="Q20" i="4"/>
  <c r="M31" i="4"/>
  <c r="N30" i="4"/>
  <c r="L33" i="4"/>
  <c r="L34" i="4"/>
  <c r="L26" i="4"/>
  <c r="L28" i="4"/>
  <c r="L35" i="4"/>
  <c r="L36" i="4"/>
  <c r="O46" i="21"/>
  <c r="O48" i="21"/>
  <c r="O281" i="21"/>
  <c r="L147" i="21"/>
  <c r="L205" i="19"/>
  <c r="M50" i="21"/>
  <c r="T257" i="21"/>
  <c r="T258" i="21"/>
  <c r="S394" i="19"/>
  <c r="T57" i="19"/>
  <c r="O50" i="21"/>
  <c r="V283" i="21"/>
  <c r="V218" i="19"/>
  <c r="O21" i="4"/>
  <c r="P21" i="4"/>
  <c r="Q187" i="21"/>
  <c r="Q43" i="21"/>
  <c r="U59" i="19"/>
  <c r="T396" i="19"/>
  <c r="S58" i="19"/>
  <c r="R395" i="19"/>
  <c r="R186" i="21"/>
  <c r="R42" i="21"/>
  <c r="N190" i="21"/>
  <c r="N192" i="21"/>
  <c r="P46" i="21"/>
  <c r="P48" i="21"/>
  <c r="P50" i="21"/>
  <c r="S44" i="21"/>
  <c r="S188" i="21"/>
  <c r="L220" i="21"/>
  <c r="L221" i="21"/>
  <c r="L472" i="19"/>
  <c r="X283" i="21"/>
  <c r="X218" i="19"/>
  <c r="O190" i="21"/>
  <c r="O192" i="21"/>
  <c r="L518" i="19"/>
  <c r="L117" i="21"/>
  <c r="L118" i="21"/>
  <c r="M500" i="19"/>
  <c r="M130" i="21"/>
  <c r="M131" i="21"/>
  <c r="M505" i="19"/>
  <c r="M506" i="19"/>
  <c r="M188" i="19"/>
  <c r="N487" i="19"/>
  <c r="N488" i="19"/>
  <c r="N179" i="19"/>
  <c r="N181" i="19"/>
  <c r="N186" i="19"/>
  <c r="L251" i="21"/>
  <c r="L219" i="19"/>
  <c r="L221" i="19"/>
  <c r="L297" i="21"/>
  <c r="M209" i="21"/>
  <c r="M210" i="21"/>
  <c r="M514" i="19"/>
  <c r="M510" i="19"/>
  <c r="M74" i="21"/>
  <c r="M75" i="21"/>
  <c r="M247" i="21"/>
  <c r="P281" i="21"/>
  <c r="S218" i="19"/>
  <c r="S283" i="21"/>
  <c r="Q472" i="19"/>
  <c r="Q220" i="21"/>
  <c r="Q221" i="21"/>
  <c r="R151" i="19"/>
  <c r="R160" i="19"/>
  <c r="S142" i="19"/>
  <c r="R156" i="19"/>
  <c r="R149" i="19"/>
  <c r="W223" i="21"/>
  <c r="W257" i="21"/>
  <c r="W258" i="21"/>
  <c r="W298" i="21"/>
  <c r="W332" i="21"/>
  <c r="Q45" i="21"/>
  <c r="Q189" i="21"/>
  <c r="Q398" i="19"/>
  <c r="Q400" i="19"/>
  <c r="Q114" i="19"/>
  <c r="Q450" i="19"/>
  <c r="U185" i="21"/>
  <c r="U41" i="21"/>
  <c r="P471" i="19"/>
  <c r="P160" i="19"/>
  <c r="S60" i="19"/>
  <c r="R61" i="19"/>
  <c r="R70" i="19"/>
  <c r="R397" i="19"/>
  <c r="W56" i="19"/>
  <c r="V393" i="19"/>
  <c r="O223" i="21"/>
  <c r="O257" i="21"/>
  <c r="O258" i="21"/>
  <c r="X280" i="21"/>
  <c r="Q298" i="21"/>
  <c r="Q332" i="21"/>
  <c r="U220" i="21"/>
  <c r="U221" i="21"/>
  <c r="U472" i="19"/>
  <c r="X332" i="21"/>
  <c r="X298" i="21"/>
  <c r="T218" i="19"/>
  <c r="T283" i="21"/>
  <c r="R472" i="19"/>
  <c r="R220" i="21"/>
  <c r="R221" i="21"/>
  <c r="N220" i="21"/>
  <c r="N221" i="21"/>
  <c r="N472" i="19"/>
  <c r="U332" i="21"/>
  <c r="U298" i="21"/>
  <c r="N280" i="21"/>
  <c r="N50" i="21"/>
  <c r="M220" i="21"/>
  <c r="M221" i="21"/>
  <c r="M472" i="19"/>
  <c r="N289" i="21"/>
  <c r="N331" i="21"/>
  <c r="U280" i="21"/>
  <c r="N11" i="19"/>
  <c r="N60" i="4"/>
  <c r="N22" i="19"/>
  <c r="N22" i="21"/>
  <c r="N61" i="4"/>
  <c r="R20" i="4"/>
  <c r="Q11" i="4"/>
  <c r="Q12" i="4"/>
  <c r="O32" i="4"/>
  <c r="P39" i="4"/>
  <c r="O40" i="4"/>
  <c r="N148" i="19"/>
  <c r="N158" i="19"/>
  <c r="N155" i="19"/>
  <c r="N20" i="21"/>
  <c r="M11" i="21"/>
  <c r="M28" i="4"/>
  <c r="M27" i="4"/>
  <c r="M33" i="4"/>
  <c r="M34" i="4"/>
  <c r="M35" i="4"/>
  <c r="M26" i="4"/>
  <c r="L337" i="21"/>
  <c r="N31" i="4"/>
  <c r="N13" i="19"/>
  <c r="N13" i="21"/>
  <c r="L38" i="4"/>
  <c r="L29" i="4"/>
  <c r="L37" i="4"/>
  <c r="M23" i="19"/>
  <c r="M23" i="21"/>
  <c r="M62" i="4"/>
  <c r="M24" i="19"/>
  <c r="M24" i="21"/>
  <c r="L24" i="21"/>
  <c r="L291" i="21"/>
  <c r="L252" i="21"/>
  <c r="O9" i="4"/>
  <c r="O8" i="4"/>
  <c r="O16" i="4"/>
  <c r="O17" i="4"/>
  <c r="O14" i="4"/>
  <c r="O15" i="4"/>
  <c r="O7" i="4"/>
  <c r="L53" i="4"/>
  <c r="L15" i="19"/>
  <c r="L15" i="21"/>
  <c r="M24" i="4"/>
  <c r="M36" i="4"/>
  <c r="M12" i="19"/>
  <c r="M7" i="21"/>
  <c r="M54" i="4"/>
  <c r="M16" i="19"/>
  <c r="M16" i="21"/>
  <c r="M47" i="4"/>
  <c r="M46" i="4"/>
  <c r="M8" i="19"/>
  <c r="M8" i="21"/>
  <c r="L27" i="4"/>
  <c r="P9" i="4"/>
  <c r="P8" i="4"/>
  <c r="P7" i="4"/>
  <c r="P16" i="4"/>
  <c r="P14" i="4"/>
  <c r="P15" i="4"/>
  <c r="M335" i="21"/>
  <c r="M336" i="21"/>
  <c r="L9" i="19"/>
  <c r="L9" i="21"/>
  <c r="L57" i="4"/>
  <c r="L19" i="19"/>
  <c r="L19" i="21"/>
  <c r="L48" i="4"/>
  <c r="L10" i="19"/>
  <c r="L10" i="21"/>
  <c r="L56" i="4"/>
  <c r="L18" i="19"/>
  <c r="L18" i="21"/>
  <c r="L16" i="19"/>
  <c r="L55" i="4"/>
  <c r="L360" i="19"/>
  <c r="L12" i="21"/>
  <c r="N18" i="4"/>
  <c r="N19" i="4"/>
  <c r="N10" i="4"/>
  <c r="N23" i="4"/>
  <c r="Q190" i="21"/>
  <c r="Q192" i="21"/>
  <c r="L223" i="21"/>
  <c r="L257" i="21"/>
  <c r="L258" i="21"/>
  <c r="T58" i="19"/>
  <c r="S395" i="19"/>
  <c r="R43" i="21"/>
  <c r="R187" i="21"/>
  <c r="Q46" i="21"/>
  <c r="Q48" i="21"/>
  <c r="Q281" i="21"/>
  <c r="T188" i="21"/>
  <c r="T44" i="21"/>
  <c r="U57" i="19"/>
  <c r="T394" i="19"/>
  <c r="O22" i="4"/>
  <c r="U396" i="19"/>
  <c r="V59" i="19"/>
  <c r="S186" i="21"/>
  <c r="S42" i="21"/>
  <c r="N499" i="19"/>
  <c r="O176" i="19"/>
  <c r="N185" i="19"/>
  <c r="M517" i="19"/>
  <c r="L299" i="21"/>
  <c r="L329" i="21"/>
  <c r="L330" i="21"/>
  <c r="M297" i="21"/>
  <c r="M251" i="21"/>
  <c r="M219" i="19"/>
  <c r="M221" i="19"/>
  <c r="N509" i="19"/>
  <c r="N187" i="19"/>
  <c r="N513" i="19"/>
  <c r="M337" i="21"/>
  <c r="V185" i="21"/>
  <c r="V41" i="21"/>
  <c r="S156" i="19"/>
  <c r="S149" i="19"/>
  <c r="T142" i="19"/>
  <c r="S151" i="19"/>
  <c r="S160" i="19"/>
  <c r="X56" i="19"/>
  <c r="W393" i="19"/>
  <c r="P17" i="4"/>
  <c r="Q21" i="4"/>
  <c r="M223" i="21"/>
  <c r="M257" i="21"/>
  <c r="M258" i="21"/>
  <c r="R45" i="21"/>
  <c r="R46" i="21"/>
  <c r="R48" i="21"/>
  <c r="R189" i="21"/>
  <c r="R190" i="21"/>
  <c r="R192" i="21"/>
  <c r="R398" i="19"/>
  <c r="R400" i="19"/>
  <c r="R114" i="19"/>
  <c r="R450" i="19"/>
  <c r="Q223" i="21"/>
  <c r="Q257" i="21"/>
  <c r="Q258" i="21"/>
  <c r="N223" i="21"/>
  <c r="N257" i="21"/>
  <c r="N258" i="21"/>
  <c r="R223" i="21"/>
  <c r="R257" i="21"/>
  <c r="R258" i="21"/>
  <c r="T60" i="19"/>
  <c r="S397" i="19"/>
  <c r="S61" i="19"/>
  <c r="S70" i="19"/>
  <c r="U223" i="21"/>
  <c r="U257" i="21"/>
  <c r="U258" i="21"/>
  <c r="O218" i="19"/>
  <c r="O283" i="21"/>
  <c r="P472" i="19"/>
  <c r="P220" i="21"/>
  <c r="P221" i="21"/>
  <c r="W218" i="19"/>
  <c r="W283" i="21"/>
  <c r="N24" i="4"/>
  <c r="P22" i="4"/>
  <c r="H12" i="23"/>
  <c r="AH10" i="23"/>
  <c r="G12" i="23"/>
  <c r="G6" i="23"/>
  <c r="N12" i="19"/>
  <c r="N7" i="21"/>
  <c r="N52" i="4"/>
  <c r="N47" i="4"/>
  <c r="N46" i="4"/>
  <c r="N8" i="19"/>
  <c r="N8" i="21"/>
  <c r="N54" i="4"/>
  <c r="N16" i="19"/>
  <c r="N16" i="21"/>
  <c r="P40" i="4"/>
  <c r="Q39" i="4"/>
  <c r="P32" i="4"/>
  <c r="Q7" i="4"/>
  <c r="Q14" i="4"/>
  <c r="Q15" i="4"/>
  <c r="Q9" i="4"/>
  <c r="Q8" i="4"/>
  <c r="Q16" i="4"/>
  <c r="M57" i="4"/>
  <c r="M19" i="19"/>
  <c r="M19" i="21"/>
  <c r="M48" i="4"/>
  <c r="M10" i="19"/>
  <c r="M10" i="21"/>
  <c r="M9" i="19"/>
  <c r="M9" i="21"/>
  <c r="M56" i="4"/>
  <c r="M18" i="19"/>
  <c r="M18" i="21"/>
  <c r="M37" i="4"/>
  <c r="M29" i="4"/>
  <c r="M42" i="4"/>
  <c r="M38" i="4"/>
  <c r="M41" i="4"/>
  <c r="L17" i="19"/>
  <c r="L17" i="21"/>
  <c r="M55" i="4"/>
  <c r="O61" i="4"/>
  <c r="O60" i="4"/>
  <c r="O22" i="19"/>
  <c r="O22" i="21"/>
  <c r="O11" i="19"/>
  <c r="M360" i="19"/>
  <c r="M12" i="21"/>
  <c r="L16" i="21"/>
  <c r="L365" i="19"/>
  <c r="L366" i="19"/>
  <c r="O148" i="19"/>
  <c r="O158" i="19"/>
  <c r="O155" i="19"/>
  <c r="O20" i="21"/>
  <c r="P19" i="4"/>
  <c r="P18" i="4"/>
  <c r="P10" i="4"/>
  <c r="N33" i="4"/>
  <c r="N34" i="4"/>
  <c r="N28" i="4"/>
  <c r="N27" i="4"/>
  <c r="N35" i="4"/>
  <c r="N36" i="4"/>
  <c r="N26" i="4"/>
  <c r="S20" i="4"/>
  <c r="R11" i="4"/>
  <c r="R12" i="4"/>
  <c r="O13" i="19"/>
  <c r="O13" i="21"/>
  <c r="L341" i="21"/>
  <c r="O30" i="4"/>
  <c r="O31" i="4"/>
  <c r="P30" i="4"/>
  <c r="M53" i="4"/>
  <c r="M15" i="19"/>
  <c r="M15" i="21"/>
  <c r="O18" i="4"/>
  <c r="O19" i="4"/>
  <c r="O10" i="4"/>
  <c r="O23" i="4"/>
  <c r="N335" i="21"/>
  <c r="N336" i="21"/>
  <c r="N23" i="19"/>
  <c r="N23" i="21"/>
  <c r="N62" i="4"/>
  <c r="N24" i="19"/>
  <c r="L105" i="19"/>
  <c r="L14" i="21"/>
  <c r="L359" i="19"/>
  <c r="N11" i="21"/>
  <c r="W59" i="19"/>
  <c r="V396" i="19"/>
  <c r="Q50" i="21"/>
  <c r="U188" i="21"/>
  <c r="U44" i="21"/>
  <c r="S187" i="21"/>
  <c r="S43" i="21"/>
  <c r="T186" i="21"/>
  <c r="T42" i="21"/>
  <c r="V57" i="19"/>
  <c r="U394" i="19"/>
  <c r="U58" i="19"/>
  <c r="T395" i="19"/>
  <c r="L218" i="19"/>
  <c r="L283" i="21"/>
  <c r="M329" i="21"/>
  <c r="M330" i="21"/>
  <c r="M299" i="21"/>
  <c r="L322" i="21"/>
  <c r="L304" i="21"/>
  <c r="M117" i="21"/>
  <c r="M118" i="21"/>
  <c r="M518" i="19"/>
  <c r="N514" i="19"/>
  <c r="N209" i="21"/>
  <c r="N210" i="21"/>
  <c r="N505" i="19"/>
  <c r="N506" i="19"/>
  <c r="N188" i="19"/>
  <c r="N74" i="21"/>
  <c r="N75" i="21"/>
  <c r="N247" i="21"/>
  <c r="N510" i="19"/>
  <c r="O487" i="19"/>
  <c r="O488" i="19"/>
  <c r="O179" i="19"/>
  <c r="O181" i="19"/>
  <c r="O186" i="19"/>
  <c r="N130" i="21"/>
  <c r="N131" i="21"/>
  <c r="N500" i="19"/>
  <c r="S189" i="21"/>
  <c r="S45" i="21"/>
  <c r="S398" i="19"/>
  <c r="S400" i="19"/>
  <c r="S114" i="19"/>
  <c r="S450" i="19"/>
  <c r="R281" i="21"/>
  <c r="R50" i="21"/>
  <c r="P223" i="21"/>
  <c r="P257" i="21"/>
  <c r="P258" i="21"/>
  <c r="U60" i="19"/>
  <c r="T397" i="19"/>
  <c r="T61" i="19"/>
  <c r="T70" i="19"/>
  <c r="Q218" i="19"/>
  <c r="Q283" i="21"/>
  <c r="W185" i="21"/>
  <c r="W41" i="21"/>
  <c r="T151" i="19"/>
  <c r="T160" i="19"/>
  <c r="T156" i="19"/>
  <c r="T149" i="19"/>
  <c r="U142" i="19"/>
  <c r="M283" i="21"/>
  <c r="M218" i="19"/>
  <c r="X393" i="19"/>
  <c r="Q17" i="4"/>
  <c r="R218" i="19"/>
  <c r="R283" i="21"/>
  <c r="N283" i="21"/>
  <c r="N218" i="19"/>
  <c r="U218" i="19"/>
  <c r="U283" i="21"/>
  <c r="O24" i="4"/>
  <c r="P23" i="4"/>
  <c r="N337" i="21"/>
  <c r="O54" i="4"/>
  <c r="O16" i="19"/>
  <c r="O16" i="21"/>
  <c r="O12" i="19"/>
  <c r="O47" i="4"/>
  <c r="O46" i="4"/>
  <c r="O8" i="19"/>
  <c r="O8" i="21"/>
  <c r="O7" i="21"/>
  <c r="O52" i="4"/>
  <c r="P148" i="19"/>
  <c r="P158" i="19"/>
  <c r="P20" i="21"/>
  <c r="P155" i="19"/>
  <c r="N48" i="4"/>
  <c r="N10" i="19"/>
  <c r="N10" i="21"/>
  <c r="N56" i="4"/>
  <c r="N18" i="19"/>
  <c r="N18" i="21"/>
  <c r="N57" i="4"/>
  <c r="N19" i="19"/>
  <c r="N19" i="21"/>
  <c r="N9" i="19"/>
  <c r="N9" i="21"/>
  <c r="L435" i="19"/>
  <c r="L106" i="19"/>
  <c r="R21" i="4"/>
  <c r="O11" i="21"/>
  <c r="P61" i="4"/>
  <c r="P11" i="19"/>
  <c r="P60" i="4"/>
  <c r="P22" i="19"/>
  <c r="P22" i="21"/>
  <c r="N53" i="4"/>
  <c r="N15" i="19"/>
  <c r="N15" i="21"/>
  <c r="N14" i="19"/>
  <c r="N37" i="4"/>
  <c r="N38" i="4"/>
  <c r="N29" i="4"/>
  <c r="Q22" i="4"/>
  <c r="R16" i="4"/>
  <c r="R9" i="4"/>
  <c r="R8" i="4"/>
  <c r="R7" i="4"/>
  <c r="R14" i="4"/>
  <c r="R15" i="4"/>
  <c r="P13" i="19"/>
  <c r="P13" i="21"/>
  <c r="M14" i="21"/>
  <c r="M359" i="19"/>
  <c r="O62" i="4"/>
  <c r="O24" i="19"/>
  <c r="O24" i="21"/>
  <c r="O23" i="19"/>
  <c r="O23" i="21"/>
  <c r="N41" i="4"/>
  <c r="N24" i="21"/>
  <c r="M365" i="19"/>
  <c r="M366" i="19"/>
  <c r="M17" i="19"/>
  <c r="M17" i="21"/>
  <c r="N55" i="4"/>
  <c r="P31" i="4"/>
  <c r="Q30" i="4"/>
  <c r="N360" i="19"/>
  <c r="N12" i="21"/>
  <c r="AG6" i="23"/>
  <c r="G66" i="23"/>
  <c r="L455" i="19"/>
  <c r="O26" i="4"/>
  <c r="O33" i="4"/>
  <c r="O34" i="4"/>
  <c r="O28" i="4"/>
  <c r="O27" i="4"/>
  <c r="O35" i="4"/>
  <c r="O36" i="4"/>
  <c r="T20" i="4"/>
  <c r="S11" i="4"/>
  <c r="S12" i="4"/>
  <c r="O336" i="21"/>
  <c r="O335" i="21"/>
  <c r="M43" i="4"/>
  <c r="N42" i="4"/>
  <c r="Q18" i="4"/>
  <c r="Q10" i="4"/>
  <c r="Q19" i="4"/>
  <c r="R39" i="4"/>
  <c r="Q32" i="4"/>
  <c r="Q40" i="4"/>
  <c r="O337" i="21"/>
  <c r="T43" i="21"/>
  <c r="T187" i="21"/>
  <c r="U395" i="19"/>
  <c r="V58" i="19"/>
  <c r="S46" i="21"/>
  <c r="S48" i="21"/>
  <c r="S281" i="21"/>
  <c r="U186" i="21"/>
  <c r="U42" i="21"/>
  <c r="S21" i="4"/>
  <c r="R17" i="4"/>
  <c r="S190" i="21"/>
  <c r="S192" i="21"/>
  <c r="V394" i="19"/>
  <c r="W57" i="19"/>
  <c r="V44" i="21"/>
  <c r="V188" i="21"/>
  <c r="W396" i="19"/>
  <c r="X59" i="19"/>
  <c r="X396" i="19"/>
  <c r="O187" i="19"/>
  <c r="O513" i="19"/>
  <c r="O509" i="19"/>
  <c r="N517" i="19"/>
  <c r="O185" i="19"/>
  <c r="M322" i="21"/>
  <c r="M304" i="21"/>
  <c r="N219" i="19"/>
  <c r="N221" i="19"/>
  <c r="N297" i="21"/>
  <c r="N251" i="21"/>
  <c r="P176" i="19"/>
  <c r="O499" i="19"/>
  <c r="X185" i="21"/>
  <c r="X41" i="21"/>
  <c r="T45" i="21"/>
  <c r="T46" i="21"/>
  <c r="T48" i="21"/>
  <c r="T189" i="21"/>
  <c r="T190" i="21"/>
  <c r="T192" i="21"/>
  <c r="T398" i="19"/>
  <c r="T400" i="19"/>
  <c r="T114" i="19"/>
  <c r="T450" i="19"/>
  <c r="V60" i="19"/>
  <c r="U397" i="19"/>
  <c r="U61" i="19"/>
  <c r="U70" i="19"/>
  <c r="V142" i="19"/>
  <c r="U151" i="19"/>
  <c r="U160" i="19"/>
  <c r="U156" i="19"/>
  <c r="U149" i="19"/>
  <c r="R22" i="4"/>
  <c r="P218" i="19"/>
  <c r="P283" i="21"/>
  <c r="Q61" i="4"/>
  <c r="Q60" i="4"/>
  <c r="Q22" i="19"/>
  <c r="Q22" i="21"/>
  <c r="Q11" i="19"/>
  <c r="N365" i="19"/>
  <c r="N366" i="19"/>
  <c r="M341" i="21"/>
  <c r="S14" i="4"/>
  <c r="S15" i="4"/>
  <c r="S9" i="4"/>
  <c r="S8" i="4"/>
  <c r="S16" i="4"/>
  <c r="S17" i="4"/>
  <c r="S7" i="4"/>
  <c r="L205" i="21"/>
  <c r="I12" i="23"/>
  <c r="I34" i="23"/>
  <c r="J12" i="23"/>
  <c r="J34" i="23"/>
  <c r="H6" i="23"/>
  <c r="R18" i="4"/>
  <c r="R19" i="4"/>
  <c r="R10" i="4"/>
  <c r="O41" i="4"/>
  <c r="O14" i="19"/>
  <c r="O53" i="4"/>
  <c r="O15" i="19"/>
  <c r="O15" i="21"/>
  <c r="N43" i="4"/>
  <c r="L460" i="19"/>
  <c r="Q31" i="4"/>
  <c r="U20" i="4"/>
  <c r="T11" i="4"/>
  <c r="T12" i="4"/>
  <c r="N14" i="21"/>
  <c r="N359" i="19"/>
  <c r="M103" i="19"/>
  <c r="L439" i="19"/>
  <c r="Q155" i="19"/>
  <c r="Q20" i="21"/>
  <c r="Q148" i="19"/>
  <c r="Q158" i="19"/>
  <c r="P26" i="4"/>
  <c r="P35" i="4"/>
  <c r="P36" i="4"/>
  <c r="P33" i="4"/>
  <c r="P34" i="4"/>
  <c r="P28" i="4"/>
  <c r="P27" i="4"/>
  <c r="L178" i="21"/>
  <c r="L179" i="21"/>
  <c r="L436" i="19"/>
  <c r="O57" i="4"/>
  <c r="O19" i="19"/>
  <c r="O19" i="21"/>
  <c r="O48" i="4"/>
  <c r="O10" i="19"/>
  <c r="O10" i="21"/>
  <c r="O56" i="4"/>
  <c r="O18" i="19"/>
  <c r="O18" i="21"/>
  <c r="O9" i="19"/>
  <c r="O9" i="21"/>
  <c r="Q13" i="19"/>
  <c r="Q13" i="21"/>
  <c r="P54" i="4"/>
  <c r="P16" i="19"/>
  <c r="P16" i="21"/>
  <c r="P52" i="4"/>
  <c r="P47" i="4"/>
  <c r="P46" i="4"/>
  <c r="P8" i="19"/>
  <c r="P8" i="21"/>
  <c r="P7" i="21"/>
  <c r="P12" i="19"/>
  <c r="O360" i="19"/>
  <c r="O12" i="21"/>
  <c r="N17" i="19"/>
  <c r="N17" i="21"/>
  <c r="O55" i="4"/>
  <c r="S39" i="4"/>
  <c r="R40" i="4"/>
  <c r="R32" i="4"/>
  <c r="O38" i="4"/>
  <c r="O29" i="4"/>
  <c r="O42" i="4"/>
  <c r="O37" i="4"/>
  <c r="P11" i="21"/>
  <c r="P336" i="21"/>
  <c r="P335" i="21"/>
  <c r="P337" i="21"/>
  <c r="P24" i="4"/>
  <c r="Q23" i="4"/>
  <c r="P62" i="4"/>
  <c r="P24" i="19"/>
  <c r="P23" i="19"/>
  <c r="P23" i="21"/>
  <c r="N341" i="21"/>
  <c r="W394" i="19"/>
  <c r="X57" i="19"/>
  <c r="X394" i="19"/>
  <c r="W58" i="19"/>
  <c r="V395" i="19"/>
  <c r="V186" i="21"/>
  <c r="V42" i="21"/>
  <c r="U187" i="21"/>
  <c r="U43" i="21"/>
  <c r="S50" i="21"/>
  <c r="W188" i="21"/>
  <c r="W44" i="21"/>
  <c r="X44" i="21"/>
  <c r="X188" i="21"/>
  <c r="N329" i="21"/>
  <c r="N330" i="21"/>
  <c r="N299" i="21"/>
  <c r="O505" i="19"/>
  <c r="O506" i="19"/>
  <c r="O188" i="19"/>
  <c r="O500" i="19"/>
  <c r="O130" i="21"/>
  <c r="O131" i="21"/>
  <c r="N117" i="21"/>
  <c r="N118" i="21"/>
  <c r="N518" i="19"/>
  <c r="P179" i="19"/>
  <c r="P181" i="19"/>
  <c r="P186" i="19"/>
  <c r="P487" i="19"/>
  <c r="P488" i="19"/>
  <c r="O74" i="21"/>
  <c r="O75" i="21"/>
  <c r="O247" i="21"/>
  <c r="O510" i="19"/>
  <c r="O514" i="19"/>
  <c r="O209" i="21"/>
  <c r="O210" i="21"/>
  <c r="T281" i="21"/>
  <c r="T50" i="21"/>
  <c r="W142" i="19"/>
  <c r="V156" i="19"/>
  <c r="V149" i="19"/>
  <c r="V151" i="19"/>
  <c r="V160" i="19"/>
  <c r="T21" i="4"/>
  <c r="P41" i="4"/>
  <c r="U189" i="21"/>
  <c r="U45" i="21"/>
  <c r="U398" i="19"/>
  <c r="U400" i="19"/>
  <c r="U114" i="19"/>
  <c r="U450" i="19"/>
  <c r="W60" i="19"/>
  <c r="V397" i="19"/>
  <c r="V61" i="19"/>
  <c r="V70" i="19"/>
  <c r="O43" i="4"/>
  <c r="O366" i="19"/>
  <c r="O365" i="19"/>
  <c r="Q28" i="4"/>
  <c r="Q26" i="4"/>
  <c r="Q35" i="4"/>
  <c r="Q36" i="4"/>
  <c r="Q33" i="4"/>
  <c r="Q34" i="4"/>
  <c r="M445" i="19"/>
  <c r="M447" i="19"/>
  <c r="I6" i="23"/>
  <c r="H66" i="23"/>
  <c r="AH6" i="23"/>
  <c r="Q24" i="4"/>
  <c r="R23" i="4"/>
  <c r="T39" i="4"/>
  <c r="S32" i="4"/>
  <c r="S40" i="4"/>
  <c r="L249" i="21"/>
  <c r="L181" i="21"/>
  <c r="P56" i="4"/>
  <c r="P18" i="19"/>
  <c r="P18" i="21"/>
  <c r="P48" i="4"/>
  <c r="P10" i="19"/>
  <c r="P10" i="21"/>
  <c r="P9" i="19"/>
  <c r="P9" i="21"/>
  <c r="P57" i="4"/>
  <c r="P19" i="19"/>
  <c r="P19" i="21"/>
  <c r="P29" i="4"/>
  <c r="P42" i="4"/>
  <c r="P37" i="4"/>
  <c r="P38" i="4"/>
  <c r="L462" i="19"/>
  <c r="L113" i="21"/>
  <c r="L115" i="21"/>
  <c r="G64" i="23"/>
  <c r="S51" i="4"/>
  <c r="L440" i="19"/>
  <c r="L91" i="21"/>
  <c r="L92" i="21"/>
  <c r="G59" i="23"/>
  <c r="Q11" i="21"/>
  <c r="P360" i="19"/>
  <c r="P12" i="21"/>
  <c r="O17" i="19"/>
  <c r="O17" i="21"/>
  <c r="P55" i="4"/>
  <c r="R30" i="4"/>
  <c r="R31" i="4"/>
  <c r="P14" i="19"/>
  <c r="P53" i="4"/>
  <c r="P15" i="19"/>
  <c r="P15" i="21"/>
  <c r="Q54" i="4"/>
  <c r="Q16" i="19"/>
  <c r="Q16" i="21"/>
  <c r="Q52" i="4"/>
  <c r="Q12" i="19"/>
  <c r="Q47" i="4"/>
  <c r="Q46" i="4"/>
  <c r="Q8" i="19"/>
  <c r="Q8" i="21"/>
  <c r="Q45" i="4"/>
  <c r="Q7" i="19"/>
  <c r="Q7" i="21"/>
  <c r="T7" i="4"/>
  <c r="T14" i="4"/>
  <c r="T15" i="4"/>
  <c r="T9" i="4"/>
  <c r="T8" i="4"/>
  <c r="T16" i="4"/>
  <c r="T17" i="4"/>
  <c r="M427" i="19"/>
  <c r="M428" i="19"/>
  <c r="M105" i="19"/>
  <c r="M435" i="19"/>
  <c r="R20" i="21"/>
  <c r="R148" i="19"/>
  <c r="R158" i="19"/>
  <c r="R155" i="19"/>
  <c r="R61" i="4"/>
  <c r="R60" i="4"/>
  <c r="R22" i="19"/>
  <c r="R22" i="21"/>
  <c r="R11" i="19"/>
  <c r="Q62" i="4"/>
  <c r="Q24" i="19"/>
  <c r="Q23" i="19"/>
  <c r="Q23" i="21"/>
  <c r="V20" i="4"/>
  <c r="U11" i="4"/>
  <c r="U12" i="4"/>
  <c r="P24" i="21"/>
  <c r="O14" i="21"/>
  <c r="O359" i="19"/>
  <c r="R13" i="19"/>
  <c r="R13" i="21"/>
  <c r="S19" i="4"/>
  <c r="S10" i="4"/>
  <c r="S18" i="4"/>
  <c r="S22" i="4"/>
  <c r="T22" i="4"/>
  <c r="Q336" i="21"/>
  <c r="Q335" i="21"/>
  <c r="U190" i="21"/>
  <c r="U192" i="21"/>
  <c r="Q337" i="21"/>
  <c r="U46" i="21"/>
  <c r="U48" i="21"/>
  <c r="U281" i="21"/>
  <c r="V43" i="21"/>
  <c r="V187" i="21"/>
  <c r="W395" i="19"/>
  <c r="X58" i="19"/>
  <c r="X395" i="19"/>
  <c r="X186" i="21"/>
  <c r="X42" i="21"/>
  <c r="W186" i="21"/>
  <c r="W42" i="21"/>
  <c r="O251" i="21"/>
  <c r="O219" i="19"/>
  <c r="O221" i="19"/>
  <c r="O297" i="21"/>
  <c r="P509" i="19"/>
  <c r="P187" i="19"/>
  <c r="P513" i="19"/>
  <c r="P185" i="19"/>
  <c r="O517" i="19"/>
  <c r="P499" i="19"/>
  <c r="Q176" i="19"/>
  <c r="N304" i="21"/>
  <c r="N322" i="21"/>
  <c r="V45" i="21"/>
  <c r="V46" i="21"/>
  <c r="V48" i="21"/>
  <c r="V189" i="21"/>
  <c r="V398" i="19"/>
  <c r="V400" i="19"/>
  <c r="V114" i="19"/>
  <c r="V450" i="19"/>
  <c r="U50" i="21"/>
  <c r="X60" i="19"/>
  <c r="W397" i="19"/>
  <c r="W61" i="19"/>
  <c r="W70" i="19"/>
  <c r="X142" i="19"/>
  <c r="W156" i="19"/>
  <c r="W149" i="19"/>
  <c r="W151" i="19"/>
  <c r="W160" i="19"/>
  <c r="Q41" i="4"/>
  <c r="U21" i="4"/>
  <c r="R26" i="4"/>
  <c r="R33" i="4"/>
  <c r="R34" i="4"/>
  <c r="R35" i="4"/>
  <c r="R36" i="4"/>
  <c r="R28" i="4"/>
  <c r="R27" i="4"/>
  <c r="S30" i="4"/>
  <c r="P43" i="4"/>
  <c r="U14" i="4"/>
  <c r="U15" i="4"/>
  <c r="U9" i="4"/>
  <c r="U22" i="4"/>
  <c r="U7" i="4"/>
  <c r="U16" i="4"/>
  <c r="U17" i="4"/>
  <c r="R11" i="21"/>
  <c r="M106" i="19"/>
  <c r="I66" i="23"/>
  <c r="J6" i="23"/>
  <c r="AI6" i="23"/>
  <c r="Q27" i="4"/>
  <c r="Q56" i="4"/>
  <c r="Q18" i="19"/>
  <c r="Q18" i="21"/>
  <c r="Q48" i="4"/>
  <c r="Q10" i="19"/>
  <c r="Q10" i="21"/>
  <c r="Q57" i="4"/>
  <c r="Q19" i="19"/>
  <c r="Q19" i="21"/>
  <c r="Q9" i="19"/>
  <c r="Q9" i="21"/>
  <c r="P17" i="19"/>
  <c r="P17" i="21"/>
  <c r="Q55" i="4"/>
  <c r="S31" i="4"/>
  <c r="T30" i="4"/>
  <c r="R62" i="4"/>
  <c r="R24" i="19"/>
  <c r="R23" i="19"/>
  <c r="R23" i="21"/>
  <c r="Q360" i="19"/>
  <c r="Q12" i="21"/>
  <c r="T40" i="4"/>
  <c r="T32" i="4"/>
  <c r="U39" i="4"/>
  <c r="M178" i="21"/>
  <c r="M179" i="21"/>
  <c r="M436" i="19"/>
  <c r="W20" i="4"/>
  <c r="V11" i="4"/>
  <c r="V12" i="4"/>
  <c r="Q53" i="4"/>
  <c r="Q15" i="19"/>
  <c r="Q15" i="21"/>
  <c r="Q14" i="19"/>
  <c r="R24" i="4"/>
  <c r="S23" i="4"/>
  <c r="Q24" i="21"/>
  <c r="R335" i="21"/>
  <c r="R336" i="21"/>
  <c r="T10" i="4"/>
  <c r="T19" i="4"/>
  <c r="T18" i="4"/>
  <c r="T51" i="4"/>
  <c r="Q29" i="4"/>
  <c r="Q42" i="4"/>
  <c r="Q37" i="4"/>
  <c r="Q38" i="4"/>
  <c r="S13" i="19"/>
  <c r="S13" i="21"/>
  <c r="R54" i="4"/>
  <c r="R16" i="19"/>
  <c r="R16" i="21"/>
  <c r="R52" i="4"/>
  <c r="R12" i="19"/>
  <c r="R47" i="4"/>
  <c r="K12" i="23"/>
  <c r="AK10" i="23"/>
  <c r="S20" i="21"/>
  <c r="S155" i="19"/>
  <c r="S148" i="19"/>
  <c r="S158" i="19"/>
  <c r="M116" i="19"/>
  <c r="P14" i="21"/>
  <c r="P359" i="19"/>
  <c r="S49" i="4"/>
  <c r="P365" i="19"/>
  <c r="P366" i="19"/>
  <c r="O341" i="21"/>
  <c r="V190" i="21"/>
  <c r="V192" i="21"/>
  <c r="X43" i="21"/>
  <c r="X187" i="21"/>
  <c r="W43" i="21"/>
  <c r="W187" i="21"/>
  <c r="O117" i="21"/>
  <c r="O118" i="21"/>
  <c r="O518" i="19"/>
  <c r="P130" i="21"/>
  <c r="P131" i="21"/>
  <c r="P500" i="19"/>
  <c r="P188" i="19"/>
  <c r="P505" i="19"/>
  <c r="P506" i="19"/>
  <c r="P514" i="19"/>
  <c r="P209" i="21"/>
  <c r="P210" i="21"/>
  <c r="P510" i="19"/>
  <c r="P74" i="21"/>
  <c r="P75" i="21"/>
  <c r="P247" i="21"/>
  <c r="O299" i="21"/>
  <c r="O329" i="21"/>
  <c r="O330" i="21"/>
  <c r="Q179" i="19"/>
  <c r="Q181" i="19"/>
  <c r="Q186" i="19"/>
  <c r="Q487" i="19"/>
  <c r="Q488" i="19"/>
  <c r="X397" i="19"/>
  <c r="X61" i="19"/>
  <c r="X70" i="19"/>
  <c r="K70" i="19"/>
  <c r="W189" i="21"/>
  <c r="W190" i="21"/>
  <c r="W192" i="21"/>
  <c r="W45" i="21"/>
  <c r="W46" i="21"/>
  <c r="W48" i="21"/>
  <c r="W398" i="19"/>
  <c r="W400" i="19"/>
  <c r="W114" i="19"/>
  <c r="W450" i="19"/>
  <c r="U8" i="4"/>
  <c r="R41" i="4"/>
  <c r="X156" i="19"/>
  <c r="X149" i="19"/>
  <c r="X151" i="19"/>
  <c r="X160" i="19"/>
  <c r="V281" i="21"/>
  <c r="V50" i="21"/>
  <c r="R337" i="21"/>
  <c r="Q43" i="4"/>
  <c r="R24" i="21"/>
  <c r="S61" i="4"/>
  <c r="S60" i="4"/>
  <c r="S22" i="19"/>
  <c r="S22" i="21"/>
  <c r="S11" i="19"/>
  <c r="M460" i="19"/>
  <c r="N113" i="19"/>
  <c r="T20" i="21"/>
  <c r="T148" i="19"/>
  <c r="T158" i="19"/>
  <c r="T155" i="19"/>
  <c r="X20" i="4"/>
  <c r="W11" i="4"/>
  <c r="W12" i="4"/>
  <c r="N103" i="19"/>
  <c r="M439" i="19"/>
  <c r="R9" i="19"/>
  <c r="R9" i="21"/>
  <c r="R56" i="4"/>
  <c r="R18" i="19"/>
  <c r="R18" i="21"/>
  <c r="R57" i="4"/>
  <c r="R19" i="19"/>
  <c r="R19" i="21"/>
  <c r="R48" i="4"/>
  <c r="R10" i="19"/>
  <c r="R10" i="21"/>
  <c r="T31" i="4"/>
  <c r="S35" i="4"/>
  <c r="S36" i="4"/>
  <c r="S26" i="4"/>
  <c r="S33" i="4"/>
  <c r="S34" i="4"/>
  <c r="S28" i="4"/>
  <c r="S27" i="4"/>
  <c r="R12" i="21"/>
  <c r="R360" i="19"/>
  <c r="S50" i="4"/>
  <c r="T13" i="19"/>
  <c r="T13" i="21"/>
  <c r="Q17" i="19"/>
  <c r="Q17" i="21"/>
  <c r="R55" i="4"/>
  <c r="R14" i="19"/>
  <c r="R53" i="4"/>
  <c r="R15" i="19"/>
  <c r="R15" i="21"/>
  <c r="V21" i="4"/>
  <c r="W21" i="4"/>
  <c r="M249" i="21"/>
  <c r="M181" i="21"/>
  <c r="S335" i="21"/>
  <c r="S336" i="21"/>
  <c r="U32" i="4"/>
  <c r="V39" i="4"/>
  <c r="U40" i="4"/>
  <c r="U30" i="4"/>
  <c r="AJ6" i="23"/>
  <c r="K6" i="23"/>
  <c r="J66" i="23"/>
  <c r="Q14" i="21"/>
  <c r="Q359" i="19"/>
  <c r="R7" i="21"/>
  <c r="T79" i="19"/>
  <c r="T408" i="19"/>
  <c r="T77" i="19"/>
  <c r="T406" i="19"/>
  <c r="V16" i="4"/>
  <c r="V17" i="4"/>
  <c r="V7" i="4"/>
  <c r="V14" i="4"/>
  <c r="V15" i="4"/>
  <c r="V9" i="4"/>
  <c r="Q365" i="19"/>
  <c r="Q366" i="19"/>
  <c r="P341" i="21"/>
  <c r="R46" i="4"/>
  <c r="R8" i="19"/>
  <c r="R8" i="21"/>
  <c r="U51" i="4"/>
  <c r="S24" i="4"/>
  <c r="T23" i="4"/>
  <c r="U18" i="4"/>
  <c r="U19" i="4"/>
  <c r="U10" i="4"/>
  <c r="R38" i="4"/>
  <c r="R37" i="4"/>
  <c r="R29" i="4"/>
  <c r="R42" i="4"/>
  <c r="Q509" i="19"/>
  <c r="Q187" i="19"/>
  <c r="Q513" i="19"/>
  <c r="P297" i="21"/>
  <c r="P251" i="21"/>
  <c r="P219" i="19"/>
  <c r="P221" i="19"/>
  <c r="Q499" i="19"/>
  <c r="R176" i="19"/>
  <c r="O304" i="21"/>
  <c r="O322" i="21"/>
  <c r="P517" i="19"/>
  <c r="Q185" i="19"/>
  <c r="W281" i="21"/>
  <c r="W50" i="21"/>
  <c r="X45" i="21"/>
  <c r="X46" i="21"/>
  <c r="X48" i="21"/>
  <c r="X189" i="21"/>
  <c r="X190" i="21"/>
  <c r="X192" i="21"/>
  <c r="X398" i="19"/>
  <c r="X400" i="19"/>
  <c r="X114" i="19"/>
  <c r="X450" i="19"/>
  <c r="S337" i="21"/>
  <c r="R43" i="4"/>
  <c r="T56" i="21"/>
  <c r="T198" i="21"/>
  <c r="T58" i="21"/>
  <c r="T200" i="21"/>
  <c r="R365" i="19"/>
  <c r="R366" i="19"/>
  <c r="Q341" i="21"/>
  <c r="L78" i="19"/>
  <c r="L407" i="19"/>
  <c r="N78" i="19"/>
  <c r="N407" i="19"/>
  <c r="O78" i="19"/>
  <c r="O407" i="19"/>
  <c r="P78" i="19"/>
  <c r="P407" i="19"/>
  <c r="Q78" i="19"/>
  <c r="Q407" i="19"/>
  <c r="R78" i="19"/>
  <c r="R407" i="19"/>
  <c r="S78" i="19"/>
  <c r="S407" i="19"/>
  <c r="S11" i="21"/>
  <c r="V18" i="4"/>
  <c r="V10" i="4"/>
  <c r="V19" i="4"/>
  <c r="AK6" i="23"/>
  <c r="K66" i="23"/>
  <c r="S37" i="4"/>
  <c r="S38" i="4"/>
  <c r="S29" i="4"/>
  <c r="S42" i="4"/>
  <c r="U77" i="19"/>
  <c r="U406" i="19"/>
  <c r="U20" i="21"/>
  <c r="U148" i="19"/>
  <c r="U158" i="19"/>
  <c r="U155" i="19"/>
  <c r="U78" i="19"/>
  <c r="U407" i="19"/>
  <c r="U75" i="19"/>
  <c r="U76" i="19"/>
  <c r="U405" i="19"/>
  <c r="U79" i="19"/>
  <c r="U408" i="19"/>
  <c r="T78" i="19"/>
  <c r="T407" i="19"/>
  <c r="S62" i="4"/>
  <c r="S24" i="19"/>
  <c r="S23" i="19"/>
  <c r="S23" i="21"/>
  <c r="S41" i="4"/>
  <c r="L75" i="19"/>
  <c r="N75" i="19"/>
  <c r="O75" i="19"/>
  <c r="P75" i="19"/>
  <c r="Q75" i="19"/>
  <c r="R75" i="19"/>
  <c r="S75" i="19"/>
  <c r="V40" i="4"/>
  <c r="V32" i="4"/>
  <c r="W39" i="4"/>
  <c r="R17" i="19"/>
  <c r="R17" i="21"/>
  <c r="W16" i="4"/>
  <c r="W17" i="4"/>
  <c r="W9" i="4"/>
  <c r="W8" i="4"/>
  <c r="W7" i="4"/>
  <c r="W14" i="4"/>
  <c r="W15" i="4"/>
  <c r="L77" i="19"/>
  <c r="L406" i="19"/>
  <c r="N77" i="19"/>
  <c r="N406" i="19"/>
  <c r="O77" i="19"/>
  <c r="O406" i="19"/>
  <c r="P77" i="19"/>
  <c r="P406" i="19"/>
  <c r="Q77" i="19"/>
  <c r="Q406" i="19"/>
  <c r="R77" i="19"/>
  <c r="R406" i="19"/>
  <c r="S77" i="19"/>
  <c r="S406" i="19"/>
  <c r="U31" i="4"/>
  <c r="M440" i="19"/>
  <c r="M91" i="21"/>
  <c r="M92" i="21"/>
  <c r="H59" i="23"/>
  <c r="T336" i="21"/>
  <c r="T335" i="21"/>
  <c r="V22" i="4"/>
  <c r="U13" i="19"/>
  <c r="U13" i="21"/>
  <c r="L79" i="19"/>
  <c r="L408" i="19"/>
  <c r="N79" i="19"/>
  <c r="N408" i="19"/>
  <c r="O79" i="19"/>
  <c r="O408" i="19"/>
  <c r="P79" i="19"/>
  <c r="P408" i="19"/>
  <c r="Q79" i="19"/>
  <c r="Q408" i="19"/>
  <c r="R79" i="19"/>
  <c r="R408" i="19"/>
  <c r="S79" i="19"/>
  <c r="S408" i="19"/>
  <c r="R14" i="21"/>
  <c r="R359" i="19"/>
  <c r="S54" i="4"/>
  <c r="S16" i="19"/>
  <c r="S16" i="21"/>
  <c r="S52" i="4"/>
  <c r="S12" i="19"/>
  <c r="S45" i="4"/>
  <c r="S7" i="19"/>
  <c r="S7" i="21"/>
  <c r="S47" i="4"/>
  <c r="S46" i="4"/>
  <c r="S8" i="19"/>
  <c r="S8" i="21"/>
  <c r="T49" i="4"/>
  <c r="T26" i="4"/>
  <c r="T33" i="4"/>
  <c r="T34" i="4"/>
  <c r="T35" i="4"/>
  <c r="T36" i="4"/>
  <c r="T28" i="4"/>
  <c r="T27" i="4"/>
  <c r="N427" i="19"/>
  <c r="N428" i="19"/>
  <c r="N105" i="19"/>
  <c r="N435" i="19"/>
  <c r="V51" i="4"/>
  <c r="T24" i="4"/>
  <c r="U23" i="4"/>
  <c r="V8" i="4"/>
  <c r="L76" i="19"/>
  <c r="L405" i="19"/>
  <c r="N76" i="19"/>
  <c r="N405" i="19"/>
  <c r="O76" i="19"/>
  <c r="O405" i="19"/>
  <c r="P76" i="19"/>
  <c r="P405" i="19"/>
  <c r="Q76" i="19"/>
  <c r="Q405" i="19"/>
  <c r="R76" i="19"/>
  <c r="R405" i="19"/>
  <c r="S76" i="19"/>
  <c r="S405" i="19"/>
  <c r="X11" i="4"/>
  <c r="X12" i="4"/>
  <c r="T76" i="19"/>
  <c r="T405" i="19"/>
  <c r="N445" i="19"/>
  <c r="N447" i="19"/>
  <c r="N115" i="19"/>
  <c r="N455" i="19"/>
  <c r="T75" i="19"/>
  <c r="M113" i="21"/>
  <c r="M115" i="21"/>
  <c r="H64" i="23"/>
  <c r="M462" i="19"/>
  <c r="Q510" i="19"/>
  <c r="Q74" i="21"/>
  <c r="Q75" i="21"/>
  <c r="Q247" i="21"/>
  <c r="R487" i="19"/>
  <c r="R488" i="19"/>
  <c r="R179" i="19"/>
  <c r="R181" i="19"/>
  <c r="R186" i="19"/>
  <c r="Q500" i="19"/>
  <c r="Q130" i="21"/>
  <c r="Q131" i="21"/>
  <c r="Q188" i="19"/>
  <c r="Q505" i="19"/>
  <c r="Q506" i="19"/>
  <c r="P329" i="21"/>
  <c r="P330" i="21"/>
  <c r="P299" i="21"/>
  <c r="P518" i="19"/>
  <c r="P117" i="21"/>
  <c r="P118" i="21"/>
  <c r="Q209" i="21"/>
  <c r="Q210" i="21"/>
  <c r="Q514" i="19"/>
  <c r="X281" i="21"/>
  <c r="X50" i="21"/>
  <c r="W22" i="4"/>
  <c r="S43" i="4"/>
  <c r="N55" i="21"/>
  <c r="N197" i="21"/>
  <c r="M197" i="21"/>
  <c r="M55" i="21"/>
  <c r="S58" i="21"/>
  <c r="S200" i="21"/>
  <c r="S198" i="21"/>
  <c r="S56" i="21"/>
  <c r="Q80" i="19"/>
  <c r="Q82" i="19"/>
  <c r="Q404" i="19"/>
  <c r="S24" i="21"/>
  <c r="O57" i="21"/>
  <c r="O199" i="21"/>
  <c r="U35" i="4"/>
  <c r="U36" i="4"/>
  <c r="U33" i="4"/>
  <c r="U34" i="4"/>
  <c r="U28" i="4"/>
  <c r="U27" i="4"/>
  <c r="U26" i="4"/>
  <c r="N116" i="19"/>
  <c r="L55" i="21"/>
  <c r="L197" i="21"/>
  <c r="V13" i="19"/>
  <c r="V13" i="21"/>
  <c r="R58" i="21"/>
  <c r="R200" i="21"/>
  <c r="R198" i="21"/>
  <c r="R56" i="21"/>
  <c r="P404" i="19"/>
  <c r="P80" i="19"/>
  <c r="P82" i="19"/>
  <c r="T57" i="21"/>
  <c r="T199" i="21"/>
  <c r="N57" i="21"/>
  <c r="N199" i="21"/>
  <c r="L58" i="21"/>
  <c r="L200" i="21"/>
  <c r="R404" i="19"/>
  <c r="R80" i="19"/>
  <c r="R82" i="19"/>
  <c r="T55" i="21"/>
  <c r="T197" i="21"/>
  <c r="S55" i="21"/>
  <c r="S197" i="21"/>
  <c r="N178" i="21"/>
  <c r="N179" i="21"/>
  <c r="N436" i="19"/>
  <c r="T61" i="4"/>
  <c r="T11" i="19"/>
  <c r="T60" i="4"/>
  <c r="T22" i="19"/>
  <c r="T22" i="21"/>
  <c r="T50" i="4"/>
  <c r="Q58" i="21"/>
  <c r="Q200" i="21"/>
  <c r="Q56" i="21"/>
  <c r="Q198" i="21"/>
  <c r="O404" i="19"/>
  <c r="O80" i="19"/>
  <c r="O82" i="19"/>
  <c r="U58" i="21"/>
  <c r="U200" i="21"/>
  <c r="M57" i="21"/>
  <c r="M199" i="21"/>
  <c r="R55" i="21"/>
  <c r="R197" i="21"/>
  <c r="U24" i="4"/>
  <c r="V23" i="4"/>
  <c r="N106" i="19"/>
  <c r="P200" i="21"/>
  <c r="P58" i="21"/>
  <c r="T337" i="21"/>
  <c r="P56" i="21"/>
  <c r="P198" i="21"/>
  <c r="W19" i="4"/>
  <c r="W10" i="4"/>
  <c r="W18" i="4"/>
  <c r="V30" i="4"/>
  <c r="V31" i="4"/>
  <c r="N404" i="19"/>
  <c r="N80" i="19"/>
  <c r="N82" i="19"/>
  <c r="L199" i="21"/>
  <c r="L57" i="21"/>
  <c r="X7" i="4"/>
  <c r="X14" i="4"/>
  <c r="X15" i="4"/>
  <c r="X9" i="4"/>
  <c r="X8" i="4"/>
  <c r="X16" i="4"/>
  <c r="X17" i="4"/>
  <c r="S14" i="19"/>
  <c r="S53" i="4"/>
  <c r="S15" i="19"/>
  <c r="S15" i="21"/>
  <c r="U199" i="21"/>
  <c r="U57" i="21"/>
  <c r="T404" i="19"/>
  <c r="T80" i="19"/>
  <c r="T82" i="19"/>
  <c r="Q197" i="21"/>
  <c r="Q55" i="21"/>
  <c r="S48" i="4"/>
  <c r="S10" i="19"/>
  <c r="S10" i="21"/>
  <c r="S57" i="4"/>
  <c r="S19" i="19"/>
  <c r="S19" i="21"/>
  <c r="S9" i="19"/>
  <c r="S9" i="21"/>
  <c r="S56" i="4"/>
  <c r="S18" i="19"/>
  <c r="S18" i="21"/>
  <c r="O200" i="21"/>
  <c r="O58" i="21"/>
  <c r="O56" i="21"/>
  <c r="O198" i="21"/>
  <c r="M80" i="19"/>
  <c r="M82" i="19"/>
  <c r="U336" i="21"/>
  <c r="U335" i="21"/>
  <c r="U337" i="21"/>
  <c r="S57" i="21"/>
  <c r="S199" i="21"/>
  <c r="P199" i="21"/>
  <c r="P57" i="21"/>
  <c r="P55" i="21"/>
  <c r="P197" i="21"/>
  <c r="N58" i="21"/>
  <c r="N200" i="21"/>
  <c r="N56" i="21"/>
  <c r="N198" i="21"/>
  <c r="S55" i="4"/>
  <c r="L404" i="19"/>
  <c r="L80" i="19"/>
  <c r="L82" i="19"/>
  <c r="U197" i="21"/>
  <c r="U55" i="21"/>
  <c r="U198" i="21"/>
  <c r="U56" i="21"/>
  <c r="R57" i="21"/>
  <c r="R199" i="21"/>
  <c r="S365" i="19"/>
  <c r="S366" i="19"/>
  <c r="R341" i="21"/>
  <c r="N205" i="21"/>
  <c r="W51" i="4"/>
  <c r="L56" i="21"/>
  <c r="L198" i="21"/>
  <c r="X39" i="4"/>
  <c r="W32" i="4"/>
  <c r="W40" i="4"/>
  <c r="X21" i="4"/>
  <c r="O197" i="21"/>
  <c r="O55" i="21"/>
  <c r="V20" i="21"/>
  <c r="V148" i="19"/>
  <c r="V158" i="19"/>
  <c r="V79" i="19"/>
  <c r="V408" i="19"/>
  <c r="V155" i="19"/>
  <c r="V77" i="19"/>
  <c r="V406" i="19"/>
  <c r="V78" i="19"/>
  <c r="V407" i="19"/>
  <c r="V75" i="19"/>
  <c r="V76" i="19"/>
  <c r="V405" i="19"/>
  <c r="T29" i="4"/>
  <c r="T42" i="4"/>
  <c r="T37" i="4"/>
  <c r="T38" i="4"/>
  <c r="S360" i="19"/>
  <c r="S12" i="21"/>
  <c r="M58" i="21"/>
  <c r="M200" i="21"/>
  <c r="M56" i="21"/>
  <c r="M198" i="21"/>
  <c r="S404" i="19"/>
  <c r="S80" i="19"/>
  <c r="S82" i="19"/>
  <c r="T41" i="4"/>
  <c r="U41" i="4"/>
  <c r="U404" i="19"/>
  <c r="U80" i="19"/>
  <c r="U82" i="19"/>
  <c r="Q57" i="21"/>
  <c r="Q199" i="21"/>
  <c r="R185" i="19"/>
  <c r="Q517" i="19"/>
  <c r="Q297" i="21"/>
  <c r="Q219" i="19"/>
  <c r="Q221" i="19"/>
  <c r="Q251" i="21"/>
  <c r="R187" i="19"/>
  <c r="R513" i="19"/>
  <c r="R509" i="19"/>
  <c r="R499" i="19"/>
  <c r="S176" i="19"/>
  <c r="P304" i="21"/>
  <c r="P322" i="21"/>
  <c r="V26" i="4"/>
  <c r="V28" i="4"/>
  <c r="V27" i="4"/>
  <c r="V33" i="4"/>
  <c r="V34" i="4"/>
  <c r="V35" i="4"/>
  <c r="V36" i="4"/>
  <c r="W30" i="4"/>
  <c r="T43" i="4"/>
  <c r="S409" i="19"/>
  <c r="S411" i="19"/>
  <c r="S122" i="19"/>
  <c r="S119" i="19"/>
  <c r="S196" i="21"/>
  <c r="S201" i="21"/>
  <c r="S203" i="21"/>
  <c r="S54" i="21"/>
  <c r="S59" i="21"/>
  <c r="S61" i="21"/>
  <c r="T11" i="21"/>
  <c r="T62" i="4"/>
  <c r="T24" i="19"/>
  <c r="T24" i="21"/>
  <c r="T23" i="19"/>
  <c r="T23" i="21"/>
  <c r="R409" i="19"/>
  <c r="R411" i="19"/>
  <c r="R122" i="19"/>
  <c r="R196" i="21"/>
  <c r="R201" i="21"/>
  <c r="R203" i="21"/>
  <c r="R54" i="21"/>
  <c r="R59" i="21"/>
  <c r="R61" i="21"/>
  <c r="P196" i="21"/>
  <c r="P201" i="21"/>
  <c r="P203" i="21"/>
  <c r="P409" i="19"/>
  <c r="P411" i="19"/>
  <c r="P122" i="19"/>
  <c r="P54" i="21"/>
  <c r="P59" i="21"/>
  <c r="P61" i="21"/>
  <c r="U29" i="4"/>
  <c r="U42" i="4"/>
  <c r="U37" i="4"/>
  <c r="U38" i="4"/>
  <c r="S341" i="21"/>
  <c r="M54" i="21"/>
  <c r="M59" i="21"/>
  <c r="M61" i="21"/>
  <c r="M196" i="21"/>
  <c r="M201" i="21"/>
  <c r="M203" i="21"/>
  <c r="S14" i="21"/>
  <c r="S359" i="19"/>
  <c r="W20" i="21"/>
  <c r="W336" i="21"/>
  <c r="W148" i="19"/>
  <c r="W158" i="19"/>
  <c r="W155" i="19"/>
  <c r="W76" i="19"/>
  <c r="W405" i="19"/>
  <c r="W79" i="19"/>
  <c r="W408" i="19"/>
  <c r="W77" i="19"/>
  <c r="W406" i="19"/>
  <c r="W78" i="19"/>
  <c r="W407" i="19"/>
  <c r="W75" i="19"/>
  <c r="L54" i="21"/>
  <c r="L59" i="21"/>
  <c r="L61" i="21"/>
  <c r="L409" i="19"/>
  <c r="L411" i="19"/>
  <c r="L122" i="19"/>
  <c r="L196" i="21"/>
  <c r="L201" i="21"/>
  <c r="L203" i="21"/>
  <c r="N409" i="19"/>
  <c r="N411" i="19"/>
  <c r="N122" i="19"/>
  <c r="N196" i="21"/>
  <c r="N201" i="21"/>
  <c r="N203" i="21"/>
  <c r="N54" i="21"/>
  <c r="N59" i="21"/>
  <c r="N61" i="21"/>
  <c r="N249" i="21"/>
  <c r="N181" i="21"/>
  <c r="W31" i="4"/>
  <c r="X30" i="4"/>
  <c r="X51" i="4"/>
  <c r="S17" i="19"/>
  <c r="S17" i="21"/>
  <c r="V197" i="21"/>
  <c r="V55" i="21"/>
  <c r="U54" i="21"/>
  <c r="U59" i="21"/>
  <c r="U61" i="21"/>
  <c r="U196" i="21"/>
  <c r="U201" i="21"/>
  <c r="U203" i="21"/>
  <c r="U409" i="19"/>
  <c r="U411" i="19"/>
  <c r="U122" i="19"/>
  <c r="V404" i="19"/>
  <c r="V80" i="19"/>
  <c r="V82" i="19"/>
  <c r="V335" i="21"/>
  <c r="V336" i="21"/>
  <c r="X32" i="4"/>
  <c r="X40" i="4"/>
  <c r="X18" i="4"/>
  <c r="X10" i="4"/>
  <c r="X19" i="4"/>
  <c r="X22" i="4"/>
  <c r="O103" i="19"/>
  <c r="N439" i="19"/>
  <c r="V58" i="21"/>
  <c r="V200" i="21"/>
  <c r="V41" i="4"/>
  <c r="V57" i="21"/>
  <c r="V199" i="21"/>
  <c r="W13" i="19"/>
  <c r="W13" i="21"/>
  <c r="T196" i="21"/>
  <c r="T201" i="21"/>
  <c r="T203" i="21"/>
  <c r="T409" i="19"/>
  <c r="T411" i="19"/>
  <c r="T122" i="19"/>
  <c r="T54" i="21"/>
  <c r="T59" i="21"/>
  <c r="T61" i="21"/>
  <c r="V24" i="4"/>
  <c r="W23" i="4"/>
  <c r="T52" i="4"/>
  <c r="T12" i="19"/>
  <c r="T47" i="4"/>
  <c r="T45" i="4"/>
  <c r="T7" i="19"/>
  <c r="T7" i="21"/>
  <c r="T54" i="4"/>
  <c r="T16" i="19"/>
  <c r="T16" i="21"/>
  <c r="U49" i="4"/>
  <c r="N460" i="19"/>
  <c r="O113" i="19"/>
  <c r="V198" i="21"/>
  <c r="V56" i="21"/>
  <c r="O196" i="21"/>
  <c r="O201" i="21"/>
  <c r="O203" i="21"/>
  <c r="O54" i="21"/>
  <c r="O59" i="21"/>
  <c r="O61" i="21"/>
  <c r="O409" i="19"/>
  <c r="O411" i="19"/>
  <c r="O122" i="19"/>
  <c r="Q409" i="19"/>
  <c r="Q411" i="19"/>
  <c r="Q122" i="19"/>
  <c r="Q54" i="21"/>
  <c r="Q59" i="21"/>
  <c r="Q61" i="21"/>
  <c r="Q196" i="21"/>
  <c r="Q201" i="21"/>
  <c r="Q203" i="21"/>
  <c r="R500" i="19"/>
  <c r="R130" i="21"/>
  <c r="R131" i="21"/>
  <c r="R74" i="21"/>
  <c r="R75" i="21"/>
  <c r="R247" i="21"/>
  <c r="R510" i="19"/>
  <c r="R209" i="21"/>
  <c r="R210" i="21"/>
  <c r="R514" i="19"/>
  <c r="S487" i="19"/>
  <c r="S488" i="19"/>
  <c r="S179" i="19"/>
  <c r="S181" i="19"/>
  <c r="S186" i="19"/>
  <c r="Q299" i="21"/>
  <c r="Q329" i="21"/>
  <c r="Q330" i="21"/>
  <c r="Q117" i="21"/>
  <c r="Q118" i="21"/>
  <c r="Q518" i="19"/>
  <c r="R188" i="19"/>
  <c r="R505" i="19"/>
  <c r="R506" i="19"/>
  <c r="U43" i="4"/>
  <c r="T360" i="19"/>
  <c r="T12" i="21"/>
  <c r="N91" i="21"/>
  <c r="N92" i="21"/>
  <c r="I59" i="23"/>
  <c r="N440" i="19"/>
  <c r="U123" i="19"/>
  <c r="U456" i="19"/>
  <c r="U451" i="19"/>
  <c r="X366" i="19"/>
  <c r="X20" i="21"/>
  <c r="X148" i="19"/>
  <c r="X158" i="19"/>
  <c r="X76" i="19"/>
  <c r="X405" i="19"/>
  <c r="X155" i="19"/>
  <c r="X79" i="19"/>
  <c r="X408" i="19"/>
  <c r="X365" i="19"/>
  <c r="X77" i="19"/>
  <c r="X406" i="19"/>
  <c r="X75" i="19"/>
  <c r="X78" i="19"/>
  <c r="X407" i="19"/>
  <c r="W199" i="21"/>
  <c r="W57" i="21"/>
  <c r="M282" i="21"/>
  <c r="M284" i="21"/>
  <c r="M288" i="21"/>
  <c r="M63" i="21"/>
  <c r="N63" i="21"/>
  <c r="N282" i="21"/>
  <c r="N284" i="21"/>
  <c r="N288" i="21"/>
  <c r="O445" i="19"/>
  <c r="O447" i="19"/>
  <c r="O115" i="19"/>
  <c r="O455" i="19"/>
  <c r="T14" i="19"/>
  <c r="T53" i="4"/>
  <c r="T15" i="19"/>
  <c r="T15" i="21"/>
  <c r="O427" i="19"/>
  <c r="O428" i="19"/>
  <c r="O105" i="19"/>
  <c r="O435" i="19"/>
  <c r="X13" i="19"/>
  <c r="X13" i="21"/>
  <c r="N451" i="19"/>
  <c r="N123" i="19"/>
  <c r="N456" i="19"/>
  <c r="N457" i="19"/>
  <c r="N119" i="19"/>
  <c r="W56" i="21"/>
  <c r="W198" i="21"/>
  <c r="M457" i="19"/>
  <c r="M119" i="19"/>
  <c r="P282" i="21"/>
  <c r="P284" i="21"/>
  <c r="P288" i="21"/>
  <c r="P63" i="21"/>
  <c r="Q282" i="21"/>
  <c r="Q284" i="21"/>
  <c r="Q288" i="21"/>
  <c r="Q63" i="21"/>
  <c r="N462" i="19"/>
  <c r="N113" i="21"/>
  <c r="N115" i="21"/>
  <c r="I64" i="23"/>
  <c r="W24" i="4"/>
  <c r="X23" i="4"/>
  <c r="X24" i="4"/>
  <c r="X31" i="4"/>
  <c r="U282" i="21"/>
  <c r="U284" i="21"/>
  <c r="U288" i="21"/>
  <c r="U63" i="21"/>
  <c r="W200" i="21"/>
  <c r="W58" i="21"/>
  <c r="P123" i="19"/>
  <c r="P456" i="19"/>
  <c r="P451" i="19"/>
  <c r="P119" i="19"/>
  <c r="U61" i="4"/>
  <c r="U11" i="19"/>
  <c r="U60" i="4"/>
  <c r="U22" i="19"/>
  <c r="U22" i="21"/>
  <c r="U50" i="4"/>
  <c r="W28" i="4"/>
  <c r="W41" i="4"/>
  <c r="W35" i="4"/>
  <c r="W36" i="4"/>
  <c r="W26" i="4"/>
  <c r="W33" i="4"/>
  <c r="W34" i="4"/>
  <c r="L123" i="19"/>
  <c r="L456" i="19"/>
  <c r="L457" i="19"/>
  <c r="L451" i="19"/>
  <c r="L119" i="19"/>
  <c r="W197" i="21"/>
  <c r="W55" i="21"/>
  <c r="S282" i="21"/>
  <c r="S284" i="21"/>
  <c r="S288" i="21"/>
  <c r="S63" i="21"/>
  <c r="W80" i="19"/>
  <c r="W82" i="19"/>
  <c r="W404" i="19"/>
  <c r="Q451" i="19"/>
  <c r="Q123" i="19"/>
  <c r="Q456" i="19"/>
  <c r="Q119" i="19"/>
  <c r="T282" i="21"/>
  <c r="T284" i="21"/>
  <c r="T288" i="21"/>
  <c r="T63" i="21"/>
  <c r="L282" i="21"/>
  <c r="L284" i="21"/>
  <c r="L288" i="21"/>
  <c r="L63" i="21"/>
  <c r="T365" i="19"/>
  <c r="R282" i="21"/>
  <c r="R284" i="21"/>
  <c r="R288" i="21"/>
  <c r="R63" i="21"/>
  <c r="T123" i="19"/>
  <c r="T456" i="19"/>
  <c r="T451" i="19"/>
  <c r="V337" i="21"/>
  <c r="T55" i="4"/>
  <c r="T366" i="19"/>
  <c r="S123" i="19"/>
  <c r="S456" i="19"/>
  <c r="S451" i="19"/>
  <c r="V38" i="4"/>
  <c r="V29" i="4"/>
  <c r="V42" i="4"/>
  <c r="V37" i="4"/>
  <c r="O63" i="21"/>
  <c r="O282" i="21"/>
  <c r="O284" i="21"/>
  <c r="O288" i="21"/>
  <c r="T48" i="4"/>
  <c r="T10" i="19"/>
  <c r="T10" i="21"/>
  <c r="T9" i="19"/>
  <c r="T9" i="21"/>
  <c r="T56" i="4"/>
  <c r="T18" i="19"/>
  <c r="T18" i="21"/>
  <c r="T57" i="4"/>
  <c r="T19" i="19"/>
  <c r="T19" i="21"/>
  <c r="V54" i="21"/>
  <c r="V59" i="21"/>
  <c r="V61" i="21"/>
  <c r="V409" i="19"/>
  <c r="V411" i="19"/>
  <c r="V122" i="19"/>
  <c r="V196" i="21"/>
  <c r="V201" i="21"/>
  <c r="V203" i="21"/>
  <c r="O451" i="19"/>
  <c r="O123" i="19"/>
  <c r="O456" i="19"/>
  <c r="O119" i="19"/>
  <c r="T46" i="4"/>
  <c r="T8" i="19"/>
  <c r="T8" i="21"/>
  <c r="R123" i="19"/>
  <c r="R456" i="19"/>
  <c r="R451" i="19"/>
  <c r="R119" i="19"/>
  <c r="S509" i="19"/>
  <c r="S187" i="19"/>
  <c r="S513" i="19"/>
  <c r="R517" i="19"/>
  <c r="S185" i="19"/>
  <c r="R297" i="21"/>
  <c r="R251" i="21"/>
  <c r="R219" i="19"/>
  <c r="R221" i="19"/>
  <c r="Q304" i="21"/>
  <c r="Q322" i="21"/>
  <c r="T176" i="19"/>
  <c r="S499" i="19"/>
  <c r="W27" i="4"/>
  <c r="V43" i="4"/>
  <c r="U11" i="21"/>
  <c r="M452" i="19"/>
  <c r="O178" i="21"/>
  <c r="O179" i="21"/>
  <c r="O436" i="19"/>
  <c r="X56" i="21"/>
  <c r="X198" i="21"/>
  <c r="X335" i="21"/>
  <c r="X336" i="21"/>
  <c r="O452" i="19"/>
  <c r="O206" i="21"/>
  <c r="S452" i="19"/>
  <c r="S206" i="21"/>
  <c r="U62" i="4"/>
  <c r="U24" i="19"/>
  <c r="U24" i="21"/>
  <c r="U23" i="19"/>
  <c r="U23" i="21"/>
  <c r="O106" i="19"/>
  <c r="R452" i="19"/>
  <c r="R206" i="21"/>
  <c r="X58" i="21"/>
  <c r="X200" i="21"/>
  <c r="U452" i="19"/>
  <c r="U206" i="21"/>
  <c r="X80" i="19"/>
  <c r="X82" i="19"/>
  <c r="K82" i="19"/>
  <c r="X404" i="19"/>
  <c r="P452" i="19"/>
  <c r="P206" i="21"/>
  <c r="X33" i="4"/>
  <c r="X34" i="4"/>
  <c r="X35" i="4"/>
  <c r="X36" i="4"/>
  <c r="X26" i="4"/>
  <c r="X28" i="4"/>
  <c r="X27" i="4"/>
  <c r="T341" i="21"/>
  <c r="V451" i="19"/>
  <c r="V123" i="19"/>
  <c r="V456" i="19"/>
  <c r="T17" i="19"/>
  <c r="T17" i="21"/>
  <c r="W38" i="4"/>
  <c r="W37" i="4"/>
  <c r="W29" i="4"/>
  <c r="W42" i="4"/>
  <c r="T119" i="19"/>
  <c r="T14" i="21"/>
  <c r="T359" i="19"/>
  <c r="X55" i="21"/>
  <c r="X197" i="21"/>
  <c r="V282" i="21"/>
  <c r="V284" i="21"/>
  <c r="V288" i="21"/>
  <c r="V63" i="21"/>
  <c r="Q206" i="21"/>
  <c r="Q452" i="19"/>
  <c r="N452" i="19"/>
  <c r="N206" i="21"/>
  <c r="N207" i="21"/>
  <c r="O205" i="21"/>
  <c r="O457" i="19"/>
  <c r="T206" i="21"/>
  <c r="T452" i="19"/>
  <c r="W409" i="19"/>
  <c r="W411" i="19"/>
  <c r="W122" i="19"/>
  <c r="W196" i="21"/>
  <c r="W201" i="21"/>
  <c r="W203" i="21"/>
  <c r="W54" i="21"/>
  <c r="W59" i="21"/>
  <c r="W61" i="21"/>
  <c r="L452" i="19"/>
  <c r="L206" i="21"/>
  <c r="L207" i="21"/>
  <c r="U52" i="4"/>
  <c r="U54" i="4"/>
  <c r="U16" i="19"/>
  <c r="U16" i="21"/>
  <c r="U45" i="4"/>
  <c r="U7" i="19"/>
  <c r="U7" i="21"/>
  <c r="U47" i="4"/>
  <c r="U46" i="4"/>
  <c r="U8" i="19"/>
  <c r="U8" i="21"/>
  <c r="U12" i="19"/>
  <c r="V49" i="4"/>
  <c r="O116" i="19"/>
  <c r="X199" i="21"/>
  <c r="X57" i="21"/>
  <c r="S505" i="19"/>
  <c r="S506" i="19"/>
  <c r="S188" i="19"/>
  <c r="S500" i="19"/>
  <c r="S130" i="21"/>
  <c r="S131" i="21"/>
  <c r="R117" i="21"/>
  <c r="R118" i="21"/>
  <c r="R518" i="19"/>
  <c r="R299" i="21"/>
  <c r="R329" i="21"/>
  <c r="R330" i="21"/>
  <c r="T487" i="19"/>
  <c r="T488" i="19"/>
  <c r="T179" i="19"/>
  <c r="S514" i="19"/>
  <c r="S209" i="21"/>
  <c r="S210" i="21"/>
  <c r="S74" i="21"/>
  <c r="S75" i="21"/>
  <c r="S247" i="21"/>
  <c r="S510" i="19"/>
  <c r="X41" i="4"/>
  <c r="W43" i="4"/>
  <c r="U365" i="19"/>
  <c r="U14" i="19"/>
  <c r="U53" i="4"/>
  <c r="U15" i="19"/>
  <c r="U15" i="21"/>
  <c r="O439" i="19"/>
  <c r="P103" i="19"/>
  <c r="P113" i="19"/>
  <c r="O460" i="19"/>
  <c r="L250" i="21"/>
  <c r="L292" i="21"/>
  <c r="L293" i="21"/>
  <c r="L214" i="21"/>
  <c r="L216" i="21"/>
  <c r="L217" i="19"/>
  <c r="L220" i="19"/>
  <c r="L224" i="19"/>
  <c r="L227" i="19"/>
  <c r="L210" i="19"/>
  <c r="L211" i="19"/>
  <c r="U55" i="4"/>
  <c r="X409" i="19"/>
  <c r="X411" i="19"/>
  <c r="X122" i="19"/>
  <c r="X196" i="21"/>
  <c r="X201" i="21"/>
  <c r="X203" i="21"/>
  <c r="X54" i="21"/>
  <c r="X59" i="21"/>
  <c r="X61" i="21"/>
  <c r="X337" i="21"/>
  <c r="X341" i="21"/>
  <c r="M250" i="21"/>
  <c r="M292" i="21"/>
  <c r="U360" i="19"/>
  <c r="U12" i="21"/>
  <c r="W282" i="21"/>
  <c r="W284" i="21"/>
  <c r="W288" i="21"/>
  <c r="W63" i="21"/>
  <c r="N250" i="21"/>
  <c r="N292" i="21"/>
  <c r="X29" i="4"/>
  <c r="X42" i="4"/>
  <c r="X43" i="4"/>
  <c r="X37" i="4"/>
  <c r="X38" i="4"/>
  <c r="V206" i="21"/>
  <c r="V452" i="19"/>
  <c r="O207" i="21"/>
  <c r="U48" i="4"/>
  <c r="U10" i="19"/>
  <c r="U10" i="21"/>
  <c r="U9" i="19"/>
  <c r="U9" i="21"/>
  <c r="U57" i="4"/>
  <c r="U19" i="19"/>
  <c r="U19" i="21"/>
  <c r="U56" i="4"/>
  <c r="U18" i="19"/>
  <c r="U18" i="21"/>
  <c r="W451" i="19"/>
  <c r="W123" i="19"/>
  <c r="W456" i="19"/>
  <c r="V61" i="4"/>
  <c r="V11" i="19"/>
  <c r="V60" i="4"/>
  <c r="V22" i="19"/>
  <c r="V22" i="21"/>
  <c r="V50" i="4"/>
  <c r="U366" i="19"/>
  <c r="O181" i="21"/>
  <c r="O249" i="21"/>
  <c r="R322" i="21"/>
  <c r="R304" i="21"/>
  <c r="T181" i="19"/>
  <c r="T186" i="19"/>
  <c r="T499" i="19"/>
  <c r="U176" i="19"/>
  <c r="S219" i="19"/>
  <c r="S221" i="19"/>
  <c r="S251" i="21"/>
  <c r="S297" i="21"/>
  <c r="T185" i="19"/>
  <c r="S517" i="19"/>
  <c r="V47" i="4"/>
  <c r="V46" i="4"/>
  <c r="V8" i="19"/>
  <c r="V8" i="21"/>
  <c r="V52" i="4"/>
  <c r="V12" i="19"/>
  <c r="V45" i="4"/>
  <c r="V7" i="19"/>
  <c r="V7" i="21"/>
  <c r="V54" i="4"/>
  <c r="V16" i="19"/>
  <c r="V16" i="21"/>
  <c r="W49" i="4"/>
  <c r="O250" i="21"/>
  <c r="O292" i="21"/>
  <c r="U341" i="21"/>
  <c r="V62" i="4"/>
  <c r="V24" i="19"/>
  <c r="V24" i="21"/>
  <c r="V23" i="19"/>
  <c r="V23" i="21"/>
  <c r="X282" i="21"/>
  <c r="X284" i="21"/>
  <c r="X288" i="21"/>
  <c r="X63" i="21"/>
  <c r="L321" i="21"/>
  <c r="L323" i="21"/>
  <c r="L303" i="21"/>
  <c r="L305" i="21"/>
  <c r="L309" i="21"/>
  <c r="U14" i="21"/>
  <c r="U119" i="19"/>
  <c r="U359" i="19"/>
  <c r="O91" i="21"/>
  <c r="O92" i="21"/>
  <c r="J59" i="23"/>
  <c r="O440" i="19"/>
  <c r="O113" i="21"/>
  <c r="O115" i="21"/>
  <c r="J64" i="23"/>
  <c r="O462" i="19"/>
  <c r="W452" i="19"/>
  <c r="W206" i="21"/>
  <c r="X123" i="19"/>
  <c r="X456" i="19"/>
  <c r="X451" i="19"/>
  <c r="P445" i="19"/>
  <c r="P447" i="19"/>
  <c r="P115" i="19"/>
  <c r="P455" i="19"/>
  <c r="V11" i="21"/>
  <c r="U17" i="19"/>
  <c r="U17" i="21"/>
  <c r="P427" i="19"/>
  <c r="P428" i="19"/>
  <c r="P105" i="19"/>
  <c r="P435" i="19"/>
  <c r="P106" i="19"/>
  <c r="V55" i="4"/>
  <c r="S329" i="21"/>
  <c r="S330" i="21"/>
  <c r="S299" i="21"/>
  <c r="U179" i="19"/>
  <c r="U487" i="19"/>
  <c r="U488" i="19"/>
  <c r="T130" i="21"/>
  <c r="T131" i="21"/>
  <c r="T500" i="19"/>
  <c r="T509" i="19"/>
  <c r="T187" i="19"/>
  <c r="T513" i="19"/>
  <c r="S518" i="19"/>
  <c r="S117" i="21"/>
  <c r="S118" i="21"/>
  <c r="T505" i="19"/>
  <c r="T506" i="19"/>
  <c r="W61" i="4"/>
  <c r="W11" i="19"/>
  <c r="W60" i="4"/>
  <c r="W22" i="19"/>
  <c r="W22" i="21"/>
  <c r="W50" i="4"/>
  <c r="P457" i="19"/>
  <c r="P205" i="21"/>
  <c r="P207" i="21"/>
  <c r="V17" i="19"/>
  <c r="V17" i="21"/>
  <c r="V360" i="19"/>
  <c r="V12" i="21"/>
  <c r="P116" i="19"/>
  <c r="X452" i="19"/>
  <c r="X206" i="21"/>
  <c r="V365" i="19"/>
  <c r="V14" i="19"/>
  <c r="V53" i="4"/>
  <c r="V15" i="19"/>
  <c r="V15" i="21"/>
  <c r="Q103" i="19"/>
  <c r="P439" i="19"/>
  <c r="V366" i="19"/>
  <c r="P178" i="21"/>
  <c r="P179" i="21"/>
  <c r="P436" i="19"/>
  <c r="V57" i="4"/>
  <c r="V19" i="19"/>
  <c r="V19" i="21"/>
  <c r="V56" i="4"/>
  <c r="V18" i="19"/>
  <c r="V18" i="21"/>
  <c r="V48" i="4"/>
  <c r="V10" i="19"/>
  <c r="V10" i="21"/>
  <c r="V9" i="19"/>
  <c r="V9" i="21"/>
  <c r="T74" i="21"/>
  <c r="T75" i="21"/>
  <c r="T247" i="21"/>
  <c r="T510" i="19"/>
  <c r="T188" i="19"/>
  <c r="U181" i="19"/>
  <c r="U186" i="19"/>
  <c r="U499" i="19"/>
  <c r="V176" i="19"/>
  <c r="T514" i="19"/>
  <c r="T209" i="21"/>
  <c r="T210" i="21"/>
  <c r="S322" i="21"/>
  <c r="S304" i="21"/>
  <c r="Q427" i="19"/>
  <c r="Q428" i="19"/>
  <c r="Q105" i="19"/>
  <c r="Q435" i="19"/>
  <c r="Q113" i="19"/>
  <c r="P460" i="19"/>
  <c r="W52" i="4"/>
  <c r="W45" i="4"/>
  <c r="W7" i="19"/>
  <c r="W7" i="21"/>
  <c r="W12" i="19"/>
  <c r="W54" i="4"/>
  <c r="W47" i="4"/>
  <c r="W46" i="4"/>
  <c r="W8" i="19"/>
  <c r="W8" i="21"/>
  <c r="X49" i="4"/>
  <c r="P91" i="21"/>
  <c r="P92" i="21"/>
  <c r="K59" i="23"/>
  <c r="P440" i="19"/>
  <c r="P249" i="21"/>
  <c r="P181" i="21"/>
  <c r="V14" i="21"/>
  <c r="V119" i="19"/>
  <c r="V359" i="19"/>
  <c r="V341" i="21"/>
  <c r="W11" i="21"/>
  <c r="W62" i="4"/>
  <c r="W24" i="19"/>
  <c r="W24" i="21"/>
  <c r="W23" i="19"/>
  <c r="W23" i="21"/>
  <c r="P250" i="21"/>
  <c r="T251" i="21"/>
  <c r="T297" i="21"/>
  <c r="T219" i="19"/>
  <c r="T221" i="19"/>
  <c r="V487" i="19"/>
  <c r="V488" i="19"/>
  <c r="V179" i="19"/>
  <c r="V181" i="19"/>
  <c r="V186" i="19"/>
  <c r="U187" i="19"/>
  <c r="U513" i="19"/>
  <c r="U509" i="19"/>
  <c r="U130" i="21"/>
  <c r="U131" i="21"/>
  <c r="U500" i="19"/>
  <c r="T517" i="19"/>
  <c r="U185" i="19"/>
  <c r="P292" i="21"/>
  <c r="L370" i="19"/>
  <c r="W12" i="21"/>
  <c r="W360" i="19"/>
  <c r="P462" i="19"/>
  <c r="P113" i="21"/>
  <c r="P115" i="21"/>
  <c r="K64" i="23"/>
  <c r="W16" i="19"/>
  <c r="W55" i="4"/>
  <c r="Q445" i="19"/>
  <c r="Q447" i="19"/>
  <c r="Q115" i="19"/>
  <c r="W14" i="19"/>
  <c r="W53" i="4"/>
  <c r="W15" i="19"/>
  <c r="W15" i="21"/>
  <c r="Q178" i="21"/>
  <c r="Q179" i="21"/>
  <c r="Q436" i="19"/>
  <c r="Q106" i="19"/>
  <c r="X61" i="4"/>
  <c r="X11" i="19"/>
  <c r="X60" i="4"/>
  <c r="X22" i="19"/>
  <c r="X22" i="21"/>
  <c r="X50" i="4"/>
  <c r="W9" i="19"/>
  <c r="W9" i="21"/>
  <c r="W48" i="4"/>
  <c r="W10" i="19"/>
  <c r="W10" i="21"/>
  <c r="W56" i="4"/>
  <c r="W18" i="19"/>
  <c r="W18" i="21"/>
  <c r="W57" i="4"/>
  <c r="W19" i="19"/>
  <c r="W19" i="21"/>
  <c r="U209" i="21"/>
  <c r="U210" i="21"/>
  <c r="U514" i="19"/>
  <c r="W176" i="19"/>
  <c r="V499" i="19"/>
  <c r="U188" i="19"/>
  <c r="U505" i="19"/>
  <c r="U506" i="19"/>
  <c r="U510" i="19"/>
  <c r="U74" i="21"/>
  <c r="U75" i="21"/>
  <c r="U247" i="21"/>
  <c r="V509" i="19"/>
  <c r="V187" i="19"/>
  <c r="V513" i="19"/>
  <c r="T117" i="21"/>
  <c r="T118" i="21"/>
  <c r="T518" i="19"/>
  <c r="T329" i="21"/>
  <c r="T330" i="21"/>
  <c r="T299" i="21"/>
  <c r="X62" i="4"/>
  <c r="X24" i="19"/>
  <c r="X23" i="19"/>
  <c r="X23" i="21"/>
  <c r="Q249" i="21"/>
  <c r="Q181" i="21"/>
  <c r="Q457" i="19"/>
  <c r="Q205" i="21"/>
  <c r="Q207" i="21"/>
  <c r="Q250" i="21"/>
  <c r="W14" i="21"/>
  <c r="W119" i="19"/>
  <c r="W359" i="19"/>
  <c r="X11" i="21"/>
  <c r="Q116" i="19"/>
  <c r="X52" i="4"/>
  <c r="X12" i="19"/>
  <c r="X45" i="4"/>
  <c r="X7" i="19"/>
  <c r="X7" i="21"/>
  <c r="X54" i="4"/>
  <c r="X16" i="19"/>
  <c r="X16" i="21"/>
  <c r="X47" i="4"/>
  <c r="X46" i="4"/>
  <c r="X8" i="19"/>
  <c r="X8" i="21"/>
  <c r="W17" i="19"/>
  <c r="W17" i="21"/>
  <c r="Q439" i="19"/>
  <c r="R103" i="19"/>
  <c r="W16" i="21"/>
  <c r="W366" i="19"/>
  <c r="W365" i="19"/>
  <c r="T304" i="21"/>
  <c r="T322" i="21"/>
  <c r="V130" i="21"/>
  <c r="V131" i="21"/>
  <c r="V500" i="19"/>
  <c r="V74" i="21"/>
  <c r="V75" i="21"/>
  <c r="V247" i="21"/>
  <c r="V510" i="19"/>
  <c r="W179" i="19"/>
  <c r="W487" i="19"/>
  <c r="W488" i="19"/>
  <c r="V185" i="19"/>
  <c r="U517" i="19"/>
  <c r="V514" i="19"/>
  <c r="V209" i="21"/>
  <c r="V210" i="21"/>
  <c r="U297" i="21"/>
  <c r="U219" i="19"/>
  <c r="U221" i="19"/>
  <c r="U251" i="21"/>
  <c r="Q292" i="21"/>
  <c r="R427" i="19"/>
  <c r="R428" i="19"/>
  <c r="R105" i="19"/>
  <c r="R435" i="19"/>
  <c r="X9" i="19"/>
  <c r="X9" i="21"/>
  <c r="X57" i="4"/>
  <c r="X19" i="19"/>
  <c r="X19" i="21"/>
  <c r="X48" i="4"/>
  <c r="X10" i="19"/>
  <c r="X10" i="21"/>
  <c r="X56" i="4"/>
  <c r="X18" i="19"/>
  <c r="X18" i="21"/>
  <c r="Q91" i="21"/>
  <c r="Q92" i="21"/>
  <c r="Q440" i="19"/>
  <c r="X55" i="4"/>
  <c r="X17" i="19"/>
  <c r="X17" i="21"/>
  <c r="X12" i="21"/>
  <c r="X360" i="19"/>
  <c r="X14" i="19"/>
  <c r="X53" i="4"/>
  <c r="X15" i="19"/>
  <c r="X15" i="21"/>
  <c r="Q460" i="19"/>
  <c r="R113" i="19"/>
  <c r="X24" i="21"/>
  <c r="AG14" i="23"/>
  <c r="AK20" i="23"/>
  <c r="AI11" i="23"/>
  <c r="AG27" i="23"/>
  <c r="AI14" i="23"/>
  <c r="AK15" i="23"/>
  <c r="AJ25" i="23"/>
  <c r="AI21" i="23"/>
  <c r="AG23" i="23"/>
  <c r="AJ11" i="23"/>
  <c r="AH13" i="23"/>
  <c r="AK19" i="23"/>
  <c r="AH19" i="23"/>
  <c r="AH11" i="23"/>
  <c r="AK14" i="23"/>
  <c r="AK24" i="23"/>
  <c r="AG11" i="23"/>
  <c r="AH21" i="23"/>
  <c r="AG24" i="23"/>
  <c r="AH27" i="23"/>
  <c r="AH14" i="23"/>
  <c r="AH25" i="23"/>
  <c r="AI15" i="23"/>
  <c r="AI20" i="23"/>
  <c r="AI25" i="23"/>
  <c r="AK11" i="23"/>
  <c r="AJ24" i="23"/>
  <c r="AH26" i="23"/>
  <c r="AG22" i="23"/>
  <c r="AH20" i="23"/>
  <c r="AJ13" i="23"/>
  <c r="AK27" i="23"/>
  <c r="AK23" i="23"/>
  <c r="AJ12" i="23"/>
  <c r="AI28" i="23"/>
  <c r="AK26" i="23"/>
  <c r="AH12" i="23"/>
  <c r="AK13" i="23"/>
  <c r="AI23" i="23"/>
  <c r="AH28" i="23"/>
  <c r="AG21" i="23"/>
  <c r="AG26" i="23"/>
  <c r="AG12" i="23"/>
  <c r="AH23" i="23"/>
  <c r="AI26" i="23"/>
  <c r="AK12" i="23"/>
  <c r="AH22" i="23"/>
  <c r="AI13" i="23"/>
  <c r="AK18" i="23"/>
  <c r="AI18" i="23"/>
  <c r="AI12" i="23"/>
  <c r="AK21" i="23"/>
  <c r="AG19" i="23"/>
  <c r="AG28" i="23"/>
  <c r="AJ28" i="23"/>
  <c r="AH15" i="23"/>
  <c r="AH18" i="23"/>
  <c r="AJ15" i="23"/>
  <c r="AH24" i="23"/>
  <c r="AJ27" i="23"/>
  <c r="AJ21" i="23"/>
  <c r="AI24" i="23"/>
  <c r="AG15" i="23"/>
  <c r="AJ14" i="23"/>
  <c r="AG20" i="23"/>
  <c r="AG25" i="23"/>
  <c r="AI27" i="23"/>
  <c r="AI22" i="23"/>
  <c r="AI19" i="23"/>
  <c r="AJ22" i="23"/>
  <c r="AJ23" i="23"/>
  <c r="AJ18" i="23"/>
  <c r="AJ26" i="23"/>
  <c r="AK28" i="23"/>
  <c r="AJ19" i="23"/>
  <c r="AK22" i="23"/>
  <c r="AG18" i="23"/>
  <c r="AJ20" i="23"/>
  <c r="AK25" i="23"/>
  <c r="AG13" i="23"/>
  <c r="R106" i="19"/>
  <c r="W181" i="19"/>
  <c r="W186" i="19"/>
  <c r="W499" i="19"/>
  <c r="X176" i="19"/>
  <c r="U329" i="21"/>
  <c r="U330" i="21"/>
  <c r="U299" i="21"/>
  <c r="V297" i="21"/>
  <c r="V251" i="21"/>
  <c r="V219" i="19"/>
  <c r="V221" i="19"/>
  <c r="U518" i="19"/>
  <c r="U117" i="21"/>
  <c r="U118" i="21"/>
  <c r="V505" i="19"/>
  <c r="V506" i="19"/>
  <c r="V188" i="19"/>
  <c r="Q462" i="19"/>
  <c r="Q113" i="21"/>
  <c r="Q115" i="21"/>
  <c r="S103" i="19"/>
  <c r="R439" i="19"/>
  <c r="R445" i="19"/>
  <c r="R447" i="19"/>
  <c r="R115" i="19"/>
  <c r="R455" i="19"/>
  <c r="X14" i="21"/>
  <c r="X119" i="19"/>
  <c r="X359" i="19"/>
  <c r="G36" i="23"/>
  <c r="H37" i="23"/>
  <c r="K16" i="23"/>
  <c r="K47" i="23"/>
  <c r="J37" i="23"/>
  <c r="I37" i="23"/>
  <c r="G35" i="23"/>
  <c r="H35" i="23"/>
  <c r="G15" i="23"/>
  <c r="I35" i="23"/>
  <c r="H44" i="23"/>
  <c r="H45" i="23"/>
  <c r="AB36" i="23"/>
  <c r="J44" i="23"/>
  <c r="J45" i="23"/>
  <c r="AB42" i="23"/>
  <c r="AL42" i="23"/>
  <c r="I40" i="23"/>
  <c r="J47" i="23"/>
  <c r="H40" i="23"/>
  <c r="K40" i="23"/>
  <c r="AG16" i="23"/>
  <c r="H25" i="23"/>
  <c r="AH16" i="23"/>
  <c r="H47" i="23"/>
  <c r="H16" i="23"/>
  <c r="K15" i="23"/>
  <c r="H48" i="23"/>
  <c r="H15" i="23"/>
  <c r="I25" i="23"/>
  <c r="I47" i="23"/>
  <c r="K25" i="23"/>
  <c r="G41" i="23"/>
  <c r="G25" i="23"/>
  <c r="K44" i="23"/>
  <c r="K45" i="23"/>
  <c r="J35" i="23"/>
  <c r="AK16" i="23"/>
  <c r="J40" i="23"/>
  <c r="J16" i="23"/>
  <c r="K35" i="23"/>
  <c r="I48" i="23"/>
  <c r="G16" i="23"/>
  <c r="AJ16" i="23"/>
  <c r="K48" i="23"/>
  <c r="J25" i="23"/>
  <c r="G37" i="23"/>
  <c r="AI16" i="23"/>
  <c r="K37" i="23"/>
  <c r="G47" i="23"/>
  <c r="I44" i="23"/>
  <c r="I45" i="23"/>
  <c r="AB39" i="23"/>
  <c r="AL39" i="23"/>
  <c r="G44" i="23"/>
  <c r="G45" i="23"/>
  <c r="AB33" i="23"/>
  <c r="J48" i="23"/>
  <c r="J15" i="23"/>
  <c r="G40" i="23"/>
  <c r="G48" i="23"/>
  <c r="I16" i="23"/>
  <c r="I15" i="23"/>
  <c r="K38" i="23"/>
  <c r="K19" i="23"/>
  <c r="I38" i="23"/>
  <c r="AK17" i="23"/>
  <c r="J38" i="23"/>
  <c r="AJ17" i="23"/>
  <c r="I36" i="23"/>
  <c r="H36" i="23"/>
  <c r="J19" i="23"/>
  <c r="AI17" i="23"/>
  <c r="I19" i="23"/>
  <c r="K39" i="23"/>
  <c r="H38" i="23"/>
  <c r="G19" i="23"/>
  <c r="AG17" i="23"/>
  <c r="H19" i="23"/>
  <c r="G39" i="23"/>
  <c r="K36" i="23"/>
  <c r="AH17" i="23"/>
  <c r="H39" i="23"/>
  <c r="J36" i="23"/>
  <c r="J39" i="23"/>
  <c r="G38" i="23"/>
  <c r="I39" i="23"/>
  <c r="R436" i="19"/>
  <c r="R178" i="21"/>
  <c r="R179" i="21"/>
  <c r="V299" i="21"/>
  <c r="V329" i="21"/>
  <c r="V330" i="21"/>
  <c r="V517" i="19"/>
  <c r="W185" i="19"/>
  <c r="U304" i="21"/>
  <c r="U322" i="21"/>
  <c r="X487" i="19"/>
  <c r="X488" i="19"/>
  <c r="X179" i="19"/>
  <c r="X499" i="19"/>
  <c r="W500" i="19"/>
  <c r="W130" i="21"/>
  <c r="W131" i="21"/>
  <c r="W509" i="19"/>
  <c r="W187" i="19"/>
  <c r="W513" i="19"/>
  <c r="R440" i="19"/>
  <c r="R91" i="21"/>
  <c r="R92" i="21"/>
  <c r="R205" i="21"/>
  <c r="R207" i="21"/>
  <c r="R250" i="21"/>
  <c r="R457" i="19"/>
  <c r="S427" i="19"/>
  <c r="S428" i="19"/>
  <c r="S105" i="19"/>
  <c r="S435" i="19"/>
  <c r="I82" i="23"/>
  <c r="I17" i="23"/>
  <c r="I20" i="23"/>
  <c r="AL36" i="23"/>
  <c r="R116" i="19"/>
  <c r="R249" i="21"/>
  <c r="R181" i="21"/>
  <c r="AL33" i="23"/>
  <c r="G82" i="23"/>
  <c r="G17" i="23"/>
  <c r="G20" i="23"/>
  <c r="K17" i="23"/>
  <c r="K20" i="23"/>
  <c r="K82" i="23"/>
  <c r="J17" i="23"/>
  <c r="J20" i="23"/>
  <c r="J82" i="23"/>
  <c r="H17" i="23"/>
  <c r="H20" i="23"/>
  <c r="H82" i="23"/>
  <c r="G42" i="23"/>
  <c r="W209" i="21"/>
  <c r="W210" i="21"/>
  <c r="W514" i="19"/>
  <c r="W510" i="19"/>
  <c r="W74" i="21"/>
  <c r="W75" i="21"/>
  <c r="W247" i="21"/>
  <c r="W505" i="19"/>
  <c r="W506" i="19"/>
  <c r="W188" i="19"/>
  <c r="V117" i="21"/>
  <c r="V118" i="21"/>
  <c r="V518" i="19"/>
  <c r="X181" i="19"/>
  <c r="X186" i="19"/>
  <c r="V304" i="21"/>
  <c r="V322" i="21"/>
  <c r="X500" i="19"/>
  <c r="X130" i="21"/>
  <c r="X131" i="21"/>
  <c r="S436" i="19"/>
  <c r="S178" i="21"/>
  <c r="S179" i="21"/>
  <c r="R460" i="19"/>
  <c r="S113" i="19"/>
  <c r="S106" i="19"/>
  <c r="AB32" i="23"/>
  <c r="R292" i="21"/>
  <c r="W517" i="19"/>
  <c r="X185" i="19"/>
  <c r="X509" i="19"/>
  <c r="X187" i="19"/>
  <c r="X513" i="19"/>
  <c r="W297" i="21"/>
  <c r="W219" i="19"/>
  <c r="W221" i="19"/>
  <c r="W251" i="21"/>
  <c r="T103" i="19"/>
  <c r="S439" i="19"/>
  <c r="S445" i="19"/>
  <c r="S447" i="19"/>
  <c r="S115" i="19"/>
  <c r="S455" i="19"/>
  <c r="R462" i="19"/>
  <c r="R113" i="21"/>
  <c r="R115" i="21"/>
  <c r="S249" i="21"/>
  <c r="S181" i="21"/>
  <c r="AJ32" i="23"/>
  <c r="AL32" i="23"/>
  <c r="AC32" i="23"/>
  <c r="W329" i="21"/>
  <c r="W330" i="21"/>
  <c r="W299" i="21"/>
  <c r="X209" i="21"/>
  <c r="X210" i="21"/>
  <c r="X514" i="19"/>
  <c r="X510" i="19"/>
  <c r="X74" i="21"/>
  <c r="X75" i="21"/>
  <c r="X247" i="21"/>
  <c r="X505" i="19"/>
  <c r="X506" i="19"/>
  <c r="X188" i="19"/>
  <c r="X517" i="19"/>
  <c r="W518" i="19"/>
  <c r="W117" i="21"/>
  <c r="W118" i="21"/>
  <c r="AC33" i="23"/>
  <c r="AM32" i="23"/>
  <c r="AF33" i="23"/>
  <c r="AH33" i="23"/>
  <c r="S457" i="19"/>
  <c r="S205" i="21"/>
  <c r="S207" i="21"/>
  <c r="S250" i="21"/>
  <c r="S292" i="21"/>
  <c r="S116" i="19"/>
  <c r="S91" i="21"/>
  <c r="S92" i="21"/>
  <c r="S440" i="19"/>
  <c r="T427" i="19"/>
  <c r="T428" i="19"/>
  <c r="T105" i="19"/>
  <c r="T435" i="19"/>
  <c r="X518" i="19"/>
  <c r="X117" i="21"/>
  <c r="X118" i="21"/>
  <c r="X297" i="21"/>
  <c r="X219" i="19"/>
  <c r="X221" i="19"/>
  <c r="X251" i="21"/>
  <c r="W304" i="21"/>
  <c r="W322" i="21"/>
  <c r="T106" i="19"/>
  <c r="T439" i="19"/>
  <c r="T113" i="19"/>
  <c r="S460" i="19"/>
  <c r="AG33" i="23"/>
  <c r="AM33" i="23"/>
  <c r="AI33" i="23"/>
  <c r="AE33" i="23"/>
  <c r="T436" i="19"/>
  <c r="T178" i="21"/>
  <c r="T179" i="21"/>
  <c r="U103" i="19"/>
  <c r="X329" i="21"/>
  <c r="X330" i="21"/>
  <c r="X299" i="21"/>
  <c r="S113" i="21"/>
  <c r="S115" i="21"/>
  <c r="S462" i="19"/>
  <c r="T445" i="19"/>
  <c r="T447" i="19"/>
  <c r="T115" i="19"/>
  <c r="T455" i="19"/>
  <c r="T249" i="21"/>
  <c r="T181" i="21"/>
  <c r="U427" i="19"/>
  <c r="U428" i="19"/>
  <c r="U105" i="19"/>
  <c r="U435" i="19"/>
  <c r="T91" i="21"/>
  <c r="T92" i="21"/>
  <c r="T440" i="19"/>
  <c r="X304" i="21"/>
  <c r="X322" i="21"/>
  <c r="U106" i="19"/>
  <c r="U439" i="19"/>
  <c r="V103" i="19"/>
  <c r="T205" i="21"/>
  <c r="T207" i="21"/>
  <c r="T250" i="21"/>
  <c r="T292" i="21"/>
  <c r="T457" i="19"/>
  <c r="T116" i="19"/>
  <c r="U436" i="19"/>
  <c r="U178" i="21"/>
  <c r="U179" i="21"/>
  <c r="U91" i="21"/>
  <c r="U92" i="21"/>
  <c r="U440" i="19"/>
  <c r="U249" i="21"/>
  <c r="U181" i="21"/>
  <c r="U113" i="19"/>
  <c r="T460" i="19"/>
  <c r="V427" i="19"/>
  <c r="V428" i="19"/>
  <c r="V105" i="19"/>
  <c r="V435" i="19"/>
  <c r="T462" i="19"/>
  <c r="T113" i="21"/>
  <c r="T115" i="21"/>
  <c r="U445" i="19"/>
  <c r="U447" i="19"/>
  <c r="U115" i="19"/>
  <c r="U455" i="19"/>
  <c r="V436" i="19"/>
  <c r="V178" i="21"/>
  <c r="V179" i="21"/>
  <c r="V106" i="19"/>
  <c r="W103" i="19"/>
  <c r="V439" i="19"/>
  <c r="V249" i="21"/>
  <c r="V181" i="21"/>
  <c r="U205" i="21"/>
  <c r="U207" i="21"/>
  <c r="U250" i="21"/>
  <c r="U292" i="21"/>
  <c r="U457" i="19"/>
  <c r="U116" i="19"/>
  <c r="U460" i="19"/>
  <c r="V113" i="19"/>
  <c r="V91" i="21"/>
  <c r="V92" i="21"/>
  <c r="V440" i="19"/>
  <c r="W427" i="19"/>
  <c r="W428" i="19"/>
  <c r="W105" i="19"/>
  <c r="W435" i="19"/>
  <c r="W436" i="19"/>
  <c r="W178" i="21"/>
  <c r="W179" i="21"/>
  <c r="W106" i="19"/>
  <c r="U462" i="19"/>
  <c r="U113" i="21"/>
  <c r="U115" i="21"/>
  <c r="V445" i="19"/>
  <c r="V447" i="19"/>
  <c r="V115" i="19"/>
  <c r="V455" i="19"/>
  <c r="V116" i="19"/>
  <c r="V460" i="19"/>
  <c r="W439" i="19"/>
  <c r="X103" i="19"/>
  <c r="W249" i="21"/>
  <c r="W181" i="21"/>
  <c r="V457" i="19"/>
  <c r="V205" i="21"/>
  <c r="V207" i="21"/>
  <c r="V250" i="21"/>
  <c r="V292" i="21"/>
  <c r="W113" i="19"/>
  <c r="X105" i="19"/>
  <c r="X106" i="19"/>
  <c r="X439" i="19"/>
  <c r="X427" i="19"/>
  <c r="X428" i="19"/>
  <c r="X435" i="19"/>
  <c r="W440" i="19"/>
  <c r="W91" i="21"/>
  <c r="W92" i="21"/>
  <c r="V113" i="21"/>
  <c r="V115" i="21"/>
  <c r="V462" i="19"/>
  <c r="W445" i="19"/>
  <c r="W447" i="19"/>
  <c r="W115" i="19"/>
  <c r="W455" i="19"/>
  <c r="W457" i="19"/>
  <c r="W205" i="21"/>
  <c r="W207" i="21"/>
  <c r="W250" i="21"/>
  <c r="W292" i="21"/>
  <c r="W116" i="19"/>
  <c r="X91" i="21"/>
  <c r="X92" i="21"/>
  <c r="X440" i="19"/>
  <c r="X178" i="21"/>
  <c r="X179" i="21"/>
  <c r="X436" i="19"/>
  <c r="X249" i="21"/>
  <c r="X181" i="21"/>
  <c r="W460" i="19"/>
  <c r="X113" i="19"/>
  <c r="X445" i="19"/>
  <c r="X447" i="19"/>
  <c r="X115" i="19"/>
  <c r="X455" i="19"/>
  <c r="W462" i="19"/>
  <c r="W113" i="21"/>
  <c r="W115" i="21"/>
  <c r="X457" i="19"/>
  <c r="X205" i="21"/>
  <c r="X207" i="21"/>
  <c r="X250" i="21"/>
  <c r="X292" i="21"/>
  <c r="X116" i="19"/>
  <c r="X460" i="19"/>
  <c r="X113" i="21"/>
  <c r="X115" i="21"/>
  <c r="X462" i="19"/>
  <c r="AA43" i="23"/>
  <c r="AA38" i="23"/>
  <c r="AJ10" i="23"/>
  <c r="G34" i="23"/>
  <c r="AA32" i="23"/>
  <c r="AG10" i="23"/>
  <c r="G78" i="23"/>
  <c r="AA34" i="23"/>
  <c r="AA33" i="23"/>
  <c r="G56" i="23"/>
  <c r="H34" i="23"/>
  <c r="AA42" i="23"/>
  <c r="AA41" i="23"/>
  <c r="J56" i="23"/>
  <c r="J78" i="23"/>
  <c r="AA40" i="23"/>
  <c r="I78" i="23"/>
  <c r="I56" i="23"/>
  <c r="AA39" i="23"/>
  <c r="L475" i="19"/>
  <c r="L168" i="19"/>
  <c r="K34" i="23"/>
  <c r="AI10" i="23"/>
  <c r="H56" i="23"/>
  <c r="H78" i="23"/>
  <c r="AA37" i="23"/>
  <c r="AA35" i="23"/>
  <c r="AA36" i="23"/>
  <c r="M165" i="19"/>
  <c r="L479" i="19"/>
  <c r="K78" i="23"/>
  <c r="K56" i="23"/>
  <c r="L67" i="21"/>
  <c r="L68" i="21"/>
  <c r="L476" i="19"/>
  <c r="L250" i="19"/>
  <c r="L251" i="19"/>
  <c r="L292" i="19"/>
  <c r="L294" i="19"/>
  <c r="L288" i="19"/>
  <c r="L290" i="19"/>
  <c r="L302" i="19"/>
  <c r="L100" i="21"/>
  <c r="L101" i="21"/>
  <c r="L480" i="19"/>
  <c r="L248" i="21"/>
  <c r="L70" i="21"/>
  <c r="L77" i="21"/>
  <c r="G22" i="23"/>
  <c r="G23" i="23"/>
  <c r="M159" i="19"/>
  <c r="M161" i="19"/>
  <c r="M167" i="19"/>
  <c r="M475" i="19"/>
  <c r="M467" i="19"/>
  <c r="M468" i="19"/>
  <c r="M67" i="21"/>
  <c r="M68" i="21"/>
  <c r="M476" i="19"/>
  <c r="M250" i="19"/>
  <c r="M251" i="19"/>
  <c r="M292" i="19"/>
  <c r="M294" i="19"/>
  <c r="M288" i="19"/>
  <c r="G60" i="23"/>
  <c r="G94" i="23"/>
  <c r="G84" i="23"/>
  <c r="G26" i="23"/>
  <c r="L237" i="19"/>
  <c r="L240" i="19"/>
  <c r="M168" i="19"/>
  <c r="L540" i="19"/>
  <c r="L133" i="21"/>
  <c r="L137" i="21"/>
  <c r="M287" i="19"/>
  <c r="M289" i="19"/>
  <c r="M302" i="19"/>
  <c r="N165" i="19"/>
  <c r="M479" i="19"/>
  <c r="L248" i="19"/>
  <c r="L253" i="19"/>
  <c r="L242" i="19"/>
  <c r="L244" i="19"/>
  <c r="M248" i="21"/>
  <c r="M70" i="21"/>
  <c r="M77" i="21"/>
  <c r="H22" i="23"/>
  <c r="H23" i="23"/>
  <c r="N159" i="19"/>
  <c r="N161" i="19"/>
  <c r="N167" i="19"/>
  <c r="N475" i="19"/>
  <c r="N467" i="19"/>
  <c r="N468" i="19"/>
  <c r="H26" i="23"/>
  <c r="H94" i="23"/>
  <c r="H84" i="23"/>
  <c r="M290" i="19"/>
  <c r="L264" i="19"/>
  <c r="L254" i="19"/>
  <c r="L255" i="19"/>
  <c r="M100" i="21"/>
  <c r="M101" i="21"/>
  <c r="M480" i="19"/>
  <c r="M237" i="19"/>
  <c r="M240" i="19"/>
  <c r="L536" i="19"/>
  <c r="L79" i="21"/>
  <c r="L306" i="19"/>
  <c r="L263" i="19"/>
  <c r="L258" i="19"/>
  <c r="L270" i="19"/>
  <c r="L246" i="21"/>
  <c r="G28" i="23"/>
  <c r="L81" i="21"/>
  <c r="M242" i="19"/>
  <c r="M248" i="19"/>
  <c r="M253" i="19"/>
  <c r="N287" i="19"/>
  <c r="M540" i="19"/>
  <c r="M133" i="21"/>
  <c r="M137" i="21"/>
  <c r="N67" i="21"/>
  <c r="N68" i="21"/>
  <c r="N476" i="19"/>
  <c r="N250" i="19"/>
  <c r="N251" i="19"/>
  <c r="N292" i="19"/>
  <c r="N294" i="19"/>
  <c r="N288" i="19"/>
  <c r="H60" i="23"/>
  <c r="N168" i="19"/>
  <c r="L206" i="19"/>
  <c r="L207" i="19"/>
  <c r="L148" i="21"/>
  <c r="L197" i="19"/>
  <c r="L245" i="21"/>
  <c r="L253" i="21"/>
  <c r="N479" i="19"/>
  <c r="O165" i="19"/>
  <c r="I22" i="23"/>
  <c r="I23" i="23"/>
  <c r="N70" i="21"/>
  <c r="N77" i="21"/>
  <c r="N248" i="21"/>
  <c r="L301" i="19"/>
  <c r="M271" i="19"/>
  <c r="L272" i="19"/>
  <c r="G29" i="23"/>
  <c r="G100" i="23"/>
  <c r="G83" i="23"/>
  <c r="N289" i="19"/>
  <c r="N290" i="19"/>
  <c r="L265" i="19"/>
  <c r="M262" i="19"/>
  <c r="L281" i="19"/>
  <c r="L283" i="19"/>
  <c r="L277" i="19"/>
  <c r="N302" i="19"/>
  <c r="I84" i="23"/>
  <c r="I26" i="23"/>
  <c r="I94" i="23"/>
  <c r="L538" i="19"/>
  <c r="L120" i="21"/>
  <c r="M269" i="19"/>
  <c r="O159" i="19"/>
  <c r="O161" i="19"/>
  <c r="O167" i="19"/>
  <c r="O475" i="19"/>
  <c r="O467" i="19"/>
  <c r="O468" i="19"/>
  <c r="M298" i="19"/>
  <c r="M537" i="19"/>
  <c r="M212" i="21"/>
  <c r="N480" i="19"/>
  <c r="N100" i="21"/>
  <c r="N101" i="21"/>
  <c r="L279" i="19"/>
  <c r="L299" i="19"/>
  <c r="L304" i="19"/>
  <c r="L308" i="19"/>
  <c r="M264" i="19"/>
  <c r="M254" i="19"/>
  <c r="M255" i="19"/>
  <c r="O287" i="19"/>
  <c r="N540" i="19"/>
  <c r="N133" i="21"/>
  <c r="N137" i="21"/>
  <c r="N237" i="19"/>
  <c r="N240" i="19"/>
  <c r="L214" i="19"/>
  <c r="L215" i="19"/>
  <c r="L201" i="19"/>
  <c r="O168" i="19"/>
  <c r="P165" i="19"/>
  <c r="I60" i="23"/>
  <c r="G65" i="23"/>
  <c r="L202" i="19"/>
  <c r="L530" i="19"/>
  <c r="L203" i="19"/>
  <c r="M200" i="19"/>
  <c r="O67" i="21"/>
  <c r="O68" i="21"/>
  <c r="O476" i="19"/>
  <c r="O250" i="19"/>
  <c r="O251" i="19"/>
  <c r="O292" i="19"/>
  <c r="O294" i="19"/>
  <c r="O288" i="19"/>
  <c r="O289" i="19"/>
  <c r="O290" i="19"/>
  <c r="L539" i="19"/>
  <c r="L103" i="21"/>
  <c r="L107" i="21"/>
  <c r="M276" i="19"/>
  <c r="H41" i="23"/>
  <c r="H42" i="23"/>
  <c r="M291" i="21"/>
  <c r="M293" i="21"/>
  <c r="M252" i="21"/>
  <c r="M214" i="21"/>
  <c r="M216" i="21"/>
  <c r="N248" i="19"/>
  <c r="N253" i="19"/>
  <c r="N242" i="19"/>
  <c r="M258" i="19"/>
  <c r="M270" i="19"/>
  <c r="M263" i="19"/>
  <c r="O479" i="19"/>
  <c r="O480" i="19"/>
  <c r="O540" i="19"/>
  <c r="O133" i="21"/>
  <c r="O137" i="21"/>
  <c r="P287" i="19"/>
  <c r="P159" i="19"/>
  <c r="P161" i="19"/>
  <c r="P167" i="19"/>
  <c r="P475" i="19"/>
  <c r="P467" i="19"/>
  <c r="P468" i="19"/>
  <c r="M217" i="19"/>
  <c r="M220" i="19"/>
  <c r="M224" i="19"/>
  <c r="M227" i="19"/>
  <c r="M321" i="21"/>
  <c r="M323" i="21"/>
  <c r="M303" i="21"/>
  <c r="M305" i="21"/>
  <c r="M309" i="21"/>
  <c r="L149" i="21"/>
  <c r="L150" i="21"/>
  <c r="M281" i="19"/>
  <c r="M283" i="19"/>
  <c r="M277" i="19"/>
  <c r="M265" i="19"/>
  <c r="N262" i="19"/>
  <c r="L531" i="19"/>
  <c r="L235" i="21"/>
  <c r="L228" i="19"/>
  <c r="L229" i="19"/>
  <c r="AB35" i="23"/>
  <c r="N271" i="19"/>
  <c r="M301" i="19"/>
  <c r="M272" i="19"/>
  <c r="M278" i="19"/>
  <c r="M243" i="19"/>
  <c r="M244" i="19"/>
  <c r="O248" i="21"/>
  <c r="O70" i="21"/>
  <c r="O77" i="21"/>
  <c r="J22" i="23"/>
  <c r="J23" i="23"/>
  <c r="M529" i="19"/>
  <c r="O302" i="19"/>
  <c r="O100" i="21"/>
  <c r="O101" i="21"/>
  <c r="J60" i="23"/>
  <c r="L237" i="21"/>
  <c r="L239" i="21"/>
  <c r="L88" i="21"/>
  <c r="L89" i="21"/>
  <c r="G49" i="23"/>
  <c r="G50" i="23"/>
  <c r="L266" i="21"/>
  <c r="M210" i="19"/>
  <c r="AL35" i="23"/>
  <c r="M279" i="19"/>
  <c r="N264" i="19"/>
  <c r="N254" i="19"/>
  <c r="N255" i="19"/>
  <c r="M306" i="19"/>
  <c r="M536" i="19"/>
  <c r="M79" i="21"/>
  <c r="M538" i="19"/>
  <c r="M120" i="21"/>
  <c r="N269" i="19"/>
  <c r="P67" i="21"/>
  <c r="P68" i="21"/>
  <c r="P476" i="19"/>
  <c r="P250" i="19"/>
  <c r="P251" i="19"/>
  <c r="P292" i="19"/>
  <c r="P294" i="19"/>
  <c r="P288" i="19"/>
  <c r="M299" i="19"/>
  <c r="M304" i="19"/>
  <c r="L532" i="19"/>
  <c r="L122" i="21"/>
  <c r="L126" i="21"/>
  <c r="L139" i="21"/>
  <c r="G68" i="23"/>
  <c r="G67" i="23"/>
  <c r="P168" i="19"/>
  <c r="J94" i="23"/>
  <c r="J26" i="23"/>
  <c r="J84" i="23"/>
  <c r="O237" i="19"/>
  <c r="O240" i="19"/>
  <c r="N537" i="19"/>
  <c r="N212" i="21"/>
  <c r="N298" i="19"/>
  <c r="M147" i="21"/>
  <c r="L154" i="21"/>
  <c r="G71" i="23"/>
  <c r="P289" i="19"/>
  <c r="P290" i="19"/>
  <c r="M308" i="19"/>
  <c r="I41" i="23"/>
  <c r="I42" i="23"/>
  <c r="N291" i="21"/>
  <c r="N293" i="21"/>
  <c r="N252" i="21"/>
  <c r="N214" i="21"/>
  <c r="N216" i="21"/>
  <c r="N263" i="19"/>
  <c r="N258" i="19"/>
  <c r="N270" i="19"/>
  <c r="O242" i="19"/>
  <c r="O248" i="19"/>
  <c r="O253" i="19"/>
  <c r="P302" i="19"/>
  <c r="AB34" i="23"/>
  <c r="G52" i="23"/>
  <c r="G101" i="23"/>
  <c r="P479" i="19"/>
  <c r="Q165" i="19"/>
  <c r="K22" i="23"/>
  <c r="K23" i="23"/>
  <c r="P70" i="21"/>
  <c r="P77" i="21"/>
  <c r="P248" i="21"/>
  <c r="L311" i="21"/>
  <c r="L312" i="21"/>
  <c r="L267" i="21"/>
  <c r="L269" i="21"/>
  <c r="L272" i="21"/>
  <c r="H65" i="23"/>
  <c r="L96" i="21"/>
  <c r="L109" i="21"/>
  <c r="G58" i="23"/>
  <c r="M87" i="21"/>
  <c r="M205" i="19"/>
  <c r="N276" i="19"/>
  <c r="M539" i="19"/>
  <c r="M103" i="21"/>
  <c r="M107" i="21"/>
  <c r="Q287" i="19"/>
  <c r="P540" i="19"/>
  <c r="P133" i="21"/>
  <c r="P137" i="21"/>
  <c r="N272" i="19"/>
  <c r="G93" i="23"/>
  <c r="G88" i="23"/>
  <c r="G70" i="23"/>
  <c r="M246" i="21"/>
  <c r="H28" i="23"/>
  <c r="M81" i="21"/>
  <c r="H29" i="23"/>
  <c r="H100" i="23"/>
  <c r="H83" i="23"/>
  <c r="Q289" i="19"/>
  <c r="Q467" i="19"/>
  <c r="Q468" i="19"/>
  <c r="Q159" i="19"/>
  <c r="Q161" i="19"/>
  <c r="Q167" i="19"/>
  <c r="Q475" i="19"/>
  <c r="N281" i="19"/>
  <c r="N283" i="19"/>
  <c r="N277" i="19"/>
  <c r="N265" i="19"/>
  <c r="O262" i="19"/>
  <c r="N538" i="19"/>
  <c r="N120" i="21"/>
  <c r="O269" i="19"/>
  <c r="M206" i="19"/>
  <c r="M207" i="19"/>
  <c r="M197" i="19"/>
  <c r="M245" i="21"/>
  <c r="M253" i="21"/>
  <c r="M148" i="21"/>
  <c r="N301" i="19"/>
  <c r="O271" i="19"/>
  <c r="P480" i="19"/>
  <c r="P100" i="21"/>
  <c r="P101" i="21"/>
  <c r="N217" i="19"/>
  <c r="N220" i="19"/>
  <c r="N224" i="19"/>
  <c r="N227" i="19"/>
  <c r="L328" i="21"/>
  <c r="L333" i="21"/>
  <c r="L340" i="21"/>
  <c r="L315" i="21"/>
  <c r="AL34" i="23"/>
  <c r="AC34" i="23"/>
  <c r="AE34" i="23"/>
  <c r="AH34" i="23"/>
  <c r="AI34" i="23"/>
  <c r="AF34" i="23"/>
  <c r="N303" i="21"/>
  <c r="N305" i="21"/>
  <c r="N309" i="21"/>
  <c r="N321" i="21"/>
  <c r="N323" i="21"/>
  <c r="K84" i="23"/>
  <c r="K26" i="23"/>
  <c r="K94" i="23"/>
  <c r="L141" i="21"/>
  <c r="G62" i="23"/>
  <c r="AB38" i="23"/>
  <c r="N278" i="19"/>
  <c r="N243" i="19"/>
  <c r="N244" i="19"/>
  <c r="M209" i="19"/>
  <c r="M211" i="19"/>
  <c r="P237" i="19"/>
  <c r="P240" i="19"/>
  <c r="N299" i="19"/>
  <c r="N304" i="19"/>
  <c r="G102" i="23"/>
  <c r="G89" i="23"/>
  <c r="G61" i="23"/>
  <c r="M214" i="19"/>
  <c r="M215" i="19"/>
  <c r="M201" i="19"/>
  <c r="L158" i="21"/>
  <c r="L157" i="21"/>
  <c r="Q476" i="19"/>
  <c r="Q250" i="19"/>
  <c r="Q251" i="19"/>
  <c r="Q292" i="19"/>
  <c r="Q294" i="19"/>
  <c r="Q288" i="19"/>
  <c r="Q67" i="21"/>
  <c r="Q68" i="21"/>
  <c r="AC35" i="23"/>
  <c r="AM34" i="23"/>
  <c r="AG34" i="23"/>
  <c r="AF35" i="23"/>
  <c r="AH35" i="23"/>
  <c r="Q168" i="19"/>
  <c r="P242" i="19"/>
  <c r="P248" i="19"/>
  <c r="P253" i="19"/>
  <c r="N279" i="19"/>
  <c r="N210" i="19"/>
  <c r="N306" i="19"/>
  <c r="N536" i="19"/>
  <c r="N79" i="21"/>
  <c r="K60" i="23"/>
  <c r="O264" i="19"/>
  <c r="O254" i="19"/>
  <c r="O255" i="19"/>
  <c r="AL38" i="23"/>
  <c r="L342" i="21"/>
  <c r="O298" i="19"/>
  <c r="O537" i="19"/>
  <c r="O212" i="21"/>
  <c r="I65" i="23"/>
  <c r="N308" i="19"/>
  <c r="O263" i="19"/>
  <c r="O258" i="19"/>
  <c r="O270" i="19"/>
  <c r="M530" i="19"/>
  <c r="M202" i="19"/>
  <c r="M203" i="19"/>
  <c r="N200" i="19"/>
  <c r="AH36" i="23"/>
  <c r="AF36" i="23"/>
  <c r="AM35" i="23"/>
  <c r="AG35" i="23"/>
  <c r="AC36" i="23"/>
  <c r="AI35" i="23"/>
  <c r="AE35" i="23"/>
  <c r="O276" i="19"/>
  <c r="N539" i="19"/>
  <c r="N103" i="21"/>
  <c r="N107" i="21"/>
  <c r="O291" i="21"/>
  <c r="O293" i="21"/>
  <c r="O214" i="21"/>
  <c r="O216" i="21"/>
  <c r="J41" i="23"/>
  <c r="J42" i="23"/>
  <c r="O252" i="21"/>
  <c r="N246" i="21"/>
  <c r="I28" i="23"/>
  <c r="N81" i="21"/>
  <c r="Q70" i="21"/>
  <c r="Q77" i="21"/>
  <c r="Q248" i="21"/>
  <c r="Q479" i="19"/>
  <c r="R165" i="19"/>
  <c r="Q302" i="19"/>
  <c r="Q290" i="19"/>
  <c r="R287" i="19"/>
  <c r="Q540" i="19"/>
  <c r="Q133" i="21"/>
  <c r="Q137" i="21"/>
  <c r="R159" i="19"/>
  <c r="R161" i="19"/>
  <c r="R167" i="19"/>
  <c r="R475" i="19"/>
  <c r="R467" i="19"/>
  <c r="R468" i="19"/>
  <c r="N529" i="19"/>
  <c r="Q100" i="21"/>
  <c r="Q101" i="21"/>
  <c r="Q480" i="19"/>
  <c r="M531" i="19"/>
  <c r="M235" i="21"/>
  <c r="M228" i="19"/>
  <c r="M229" i="19"/>
  <c r="O217" i="19"/>
  <c r="O220" i="19"/>
  <c r="O224" i="19"/>
  <c r="O227" i="19"/>
  <c r="M149" i="21"/>
  <c r="M150" i="21"/>
  <c r="AB41" i="23"/>
  <c r="Q237" i="19"/>
  <c r="Q240" i="19"/>
  <c r="O321" i="21"/>
  <c r="O323" i="21"/>
  <c r="O303" i="21"/>
  <c r="O305" i="21"/>
  <c r="O309" i="21"/>
  <c r="AE36" i="23"/>
  <c r="AM36" i="23"/>
  <c r="AI36" i="23"/>
  <c r="AG36" i="23"/>
  <c r="P271" i="19"/>
  <c r="O301" i="19"/>
  <c r="O272" i="19"/>
  <c r="O281" i="19"/>
  <c r="O283" i="19"/>
  <c r="O277" i="19"/>
  <c r="O278" i="19"/>
  <c r="O299" i="19"/>
  <c r="O304" i="19"/>
  <c r="O265" i="19"/>
  <c r="P262" i="19"/>
  <c r="N197" i="19"/>
  <c r="N206" i="19"/>
  <c r="N148" i="21"/>
  <c r="N245" i="21"/>
  <c r="N253" i="21"/>
  <c r="O243" i="19"/>
  <c r="O244" i="19"/>
  <c r="I29" i="23"/>
  <c r="I100" i="23"/>
  <c r="I83" i="23"/>
  <c r="M532" i="19"/>
  <c r="M122" i="21"/>
  <c r="M126" i="21"/>
  <c r="M139" i="21"/>
  <c r="H68" i="23"/>
  <c r="H67" i="23"/>
  <c r="M154" i="21"/>
  <c r="H71" i="23"/>
  <c r="N147" i="21"/>
  <c r="R289" i="19"/>
  <c r="P264" i="19"/>
  <c r="P254" i="19"/>
  <c r="P255" i="19"/>
  <c r="O538" i="19"/>
  <c r="O120" i="21"/>
  <c r="P269" i="19"/>
  <c r="AL41" i="23"/>
  <c r="O279" i="19"/>
  <c r="O210" i="19"/>
  <c r="R168" i="19"/>
  <c r="O306" i="19"/>
  <c r="O308" i="19"/>
  <c r="O536" i="19"/>
  <c r="O79" i="21"/>
  <c r="P298" i="19"/>
  <c r="P537" i="19"/>
  <c r="P212" i="21"/>
  <c r="Q248" i="19"/>
  <c r="Q253" i="19"/>
  <c r="Q242" i="19"/>
  <c r="M237" i="21"/>
  <c r="M239" i="21"/>
  <c r="M88" i="21"/>
  <c r="M89" i="21"/>
  <c r="M266" i="21"/>
  <c r="H49" i="23"/>
  <c r="H50" i="23"/>
  <c r="R67" i="21"/>
  <c r="R68" i="21"/>
  <c r="R476" i="19"/>
  <c r="R250" i="19"/>
  <c r="R251" i="19"/>
  <c r="R292" i="19"/>
  <c r="R294" i="19"/>
  <c r="R288" i="19"/>
  <c r="R302" i="19"/>
  <c r="J65" i="23"/>
  <c r="P258" i="19"/>
  <c r="P270" i="19"/>
  <c r="P263" i="19"/>
  <c r="M311" i="21"/>
  <c r="M312" i="21"/>
  <c r="M267" i="21"/>
  <c r="M269" i="21"/>
  <c r="M272" i="21"/>
  <c r="AB37" i="23"/>
  <c r="H52" i="23"/>
  <c r="H101" i="23"/>
  <c r="R70" i="21"/>
  <c r="R77" i="21"/>
  <c r="R248" i="21"/>
  <c r="J28" i="23"/>
  <c r="O246" i="21"/>
  <c r="O81" i="21"/>
  <c r="S165" i="19"/>
  <c r="R479" i="19"/>
  <c r="R290" i="19"/>
  <c r="H58" i="23"/>
  <c r="N87" i="21"/>
  <c r="M96" i="21"/>
  <c r="M109" i="21"/>
  <c r="P252" i="21"/>
  <c r="P291" i="21"/>
  <c r="P293" i="21"/>
  <c r="P214" i="21"/>
  <c r="P216" i="21"/>
  <c r="K41" i="23"/>
  <c r="K42" i="23"/>
  <c r="N205" i="19"/>
  <c r="N207" i="19"/>
  <c r="O539" i="19"/>
  <c r="O103" i="21"/>
  <c r="O107" i="21"/>
  <c r="P276" i="19"/>
  <c r="P272" i="19"/>
  <c r="H88" i="23"/>
  <c r="H70" i="23"/>
  <c r="H93" i="23"/>
  <c r="AH37" i="23"/>
  <c r="AL37" i="23"/>
  <c r="AF37" i="23"/>
  <c r="AC37" i="23"/>
  <c r="AI37" i="23"/>
  <c r="O206" i="19"/>
  <c r="O148" i="21"/>
  <c r="O245" i="21"/>
  <c r="O253" i="21"/>
  <c r="O197" i="19"/>
  <c r="M315" i="21"/>
  <c r="M328" i="21"/>
  <c r="M333" i="21"/>
  <c r="M340" i="21"/>
  <c r="P217" i="19"/>
  <c r="P220" i="19"/>
  <c r="P224" i="19"/>
  <c r="P227" i="19"/>
  <c r="Q269" i="19"/>
  <c r="P538" i="19"/>
  <c r="P120" i="21"/>
  <c r="R100" i="21"/>
  <c r="R101" i="21"/>
  <c r="R480" i="19"/>
  <c r="P281" i="19"/>
  <c r="P283" i="19"/>
  <c r="P277" i="19"/>
  <c r="P265" i="19"/>
  <c r="Q262" i="19"/>
  <c r="J29" i="23"/>
  <c r="J100" i="23"/>
  <c r="J83" i="23"/>
  <c r="P301" i="19"/>
  <c r="Q271" i="19"/>
  <c r="R540" i="19"/>
  <c r="R133" i="21"/>
  <c r="R137" i="21"/>
  <c r="S287" i="19"/>
  <c r="P321" i="21"/>
  <c r="P323" i="21"/>
  <c r="P303" i="21"/>
  <c r="P305" i="21"/>
  <c r="P309" i="21"/>
  <c r="P278" i="19"/>
  <c r="P243" i="19"/>
  <c r="P244" i="19"/>
  <c r="S159" i="19"/>
  <c r="S161" i="19"/>
  <c r="S167" i="19"/>
  <c r="S475" i="19"/>
  <c r="S467" i="19"/>
  <c r="S468" i="19"/>
  <c r="H62" i="23"/>
  <c r="M141" i="21"/>
  <c r="N214" i="19"/>
  <c r="N209" i="19"/>
  <c r="N211" i="19"/>
  <c r="N215" i="19"/>
  <c r="N201" i="19"/>
  <c r="R237" i="19"/>
  <c r="R240" i="19"/>
  <c r="P210" i="19"/>
  <c r="H61" i="23"/>
  <c r="H89" i="23"/>
  <c r="H102" i="23"/>
  <c r="S289" i="19"/>
  <c r="AE37" i="23"/>
  <c r="P306" i="19"/>
  <c r="P536" i="19"/>
  <c r="P79" i="21"/>
  <c r="P299" i="19"/>
  <c r="P304" i="19"/>
  <c r="N530" i="19"/>
  <c r="N202" i="19"/>
  <c r="N203" i="19"/>
  <c r="O200" i="19"/>
  <c r="M342" i="21"/>
  <c r="R248" i="19"/>
  <c r="R253" i="19"/>
  <c r="R242" i="19"/>
  <c r="S168" i="19"/>
  <c r="Q537" i="19"/>
  <c r="Q212" i="21"/>
  <c r="Q298" i="19"/>
  <c r="K65" i="23"/>
  <c r="S476" i="19"/>
  <c r="S250" i="19"/>
  <c r="S251" i="19"/>
  <c r="S292" i="19"/>
  <c r="S294" i="19"/>
  <c r="S288" i="19"/>
  <c r="S67" i="21"/>
  <c r="S68" i="21"/>
  <c r="Q264" i="19"/>
  <c r="Q254" i="19"/>
  <c r="Q255" i="19"/>
  <c r="M157" i="21"/>
  <c r="M158" i="21"/>
  <c r="P279" i="19"/>
  <c r="AM37" i="23"/>
  <c r="AG37" i="23"/>
  <c r="AC38" i="23"/>
  <c r="AH38" i="23"/>
  <c r="AF38" i="23"/>
  <c r="S290" i="19"/>
  <c r="T287" i="19"/>
  <c r="S540" i="19"/>
  <c r="S133" i="21"/>
  <c r="S137" i="21"/>
  <c r="Q258" i="19"/>
  <c r="Q270" i="19"/>
  <c r="Q263" i="19"/>
  <c r="S248" i="21"/>
  <c r="S70" i="21"/>
  <c r="S77" i="21"/>
  <c r="Q214" i="21"/>
  <c r="Q216" i="21"/>
  <c r="Q252" i="21"/>
  <c r="Q291" i="21"/>
  <c r="Q293" i="21"/>
  <c r="S479" i="19"/>
  <c r="T165" i="19"/>
  <c r="AG38" i="23"/>
  <c r="AC39" i="23"/>
  <c r="AF39" i="23"/>
  <c r="AH39" i="23"/>
  <c r="AM38" i="23"/>
  <c r="AI38" i="23"/>
  <c r="AE38" i="23"/>
  <c r="S302" i="19"/>
  <c r="N149" i="21"/>
  <c r="N150" i="21"/>
  <c r="P539" i="19"/>
  <c r="P103" i="21"/>
  <c r="P107" i="21"/>
  <c r="Q276" i="19"/>
  <c r="K28" i="23"/>
  <c r="P246" i="21"/>
  <c r="P81" i="21"/>
  <c r="N228" i="19"/>
  <c r="N229" i="19"/>
  <c r="N531" i="19"/>
  <c r="N235" i="21"/>
  <c r="P308" i="19"/>
  <c r="O529" i="19"/>
  <c r="N532" i="19"/>
  <c r="N122" i="21"/>
  <c r="N126" i="21"/>
  <c r="N139" i="21"/>
  <c r="I68" i="23"/>
  <c r="I67" i="23"/>
  <c r="N154" i="21"/>
  <c r="I71" i="23"/>
  <c r="O147" i="21"/>
  <c r="P206" i="19"/>
  <c r="P148" i="21"/>
  <c r="P197" i="19"/>
  <c r="P245" i="21"/>
  <c r="P253" i="21"/>
  <c r="T159" i="19"/>
  <c r="T161" i="19"/>
  <c r="T167" i="19"/>
  <c r="T475" i="19"/>
  <c r="T467" i="19"/>
  <c r="T468" i="19"/>
  <c r="S100" i="21"/>
  <c r="S101" i="21"/>
  <c r="S480" i="19"/>
  <c r="Q281" i="19"/>
  <c r="Q283" i="19"/>
  <c r="Q277" i="19"/>
  <c r="Q265" i="19"/>
  <c r="R262" i="19"/>
  <c r="Q303" i="21"/>
  <c r="Q305" i="21"/>
  <c r="Q309" i="21"/>
  <c r="Q312" i="21"/>
  <c r="Q321" i="21"/>
  <c r="Q323" i="21"/>
  <c r="Q301" i="19"/>
  <c r="R271" i="19"/>
  <c r="Q272" i="19"/>
  <c r="K29" i="23"/>
  <c r="K100" i="23"/>
  <c r="F100" i="23"/>
  <c r="H35" i="25"/>
  <c r="K83" i="23"/>
  <c r="AI39" i="23"/>
  <c r="AE39" i="23"/>
  <c r="AM39" i="23"/>
  <c r="AG39" i="23"/>
  <c r="Q217" i="19"/>
  <c r="Q220" i="19"/>
  <c r="Q224" i="19"/>
  <c r="Q227" i="19"/>
  <c r="S237" i="19"/>
  <c r="S240" i="19"/>
  <c r="Q278" i="19"/>
  <c r="Q243" i="19"/>
  <c r="Q244" i="19"/>
  <c r="I49" i="23"/>
  <c r="I50" i="23"/>
  <c r="N266" i="21"/>
  <c r="N237" i="21"/>
  <c r="N239" i="21"/>
  <c r="N88" i="21"/>
  <c r="N89" i="21"/>
  <c r="T289" i="19"/>
  <c r="Q306" i="19"/>
  <c r="Q536" i="19"/>
  <c r="Q79" i="21"/>
  <c r="T476" i="19"/>
  <c r="T250" i="19"/>
  <c r="T251" i="19"/>
  <c r="T292" i="19"/>
  <c r="T294" i="19"/>
  <c r="T288" i="19"/>
  <c r="T67" i="21"/>
  <c r="T68" i="21"/>
  <c r="Q279" i="19"/>
  <c r="Q328" i="21"/>
  <c r="Q333" i="21"/>
  <c r="Q340" i="21"/>
  <c r="Q342" i="21"/>
  <c r="T168" i="19"/>
  <c r="R264" i="19"/>
  <c r="R254" i="19"/>
  <c r="R255" i="19"/>
  <c r="S248" i="19"/>
  <c r="S253" i="19"/>
  <c r="S242" i="19"/>
  <c r="Q299" i="19"/>
  <c r="Q304" i="19"/>
  <c r="Q210" i="19"/>
  <c r="Q229" i="19"/>
  <c r="R269" i="19"/>
  <c r="Q538" i="19"/>
  <c r="Q120" i="21"/>
  <c r="N96" i="21"/>
  <c r="N109" i="21"/>
  <c r="O87" i="21"/>
  <c r="I58" i="23"/>
  <c r="N267" i="21"/>
  <c r="N269" i="21"/>
  <c r="N272" i="21"/>
  <c r="N311" i="21"/>
  <c r="N312" i="21"/>
  <c r="R537" i="19"/>
  <c r="R212" i="21"/>
  <c r="R298" i="19"/>
  <c r="O205" i="19"/>
  <c r="O207" i="19"/>
  <c r="AB40" i="23"/>
  <c r="I52" i="23"/>
  <c r="I101" i="23"/>
  <c r="I70" i="23"/>
  <c r="I88" i="23"/>
  <c r="I93" i="23"/>
  <c r="T479" i="19"/>
  <c r="U165" i="19"/>
  <c r="R276" i="19"/>
  <c r="Q539" i="19"/>
  <c r="Q103" i="21"/>
  <c r="Q107" i="21"/>
  <c r="I62" i="23"/>
  <c r="N141" i="21"/>
  <c r="O214" i="19"/>
  <c r="T248" i="21"/>
  <c r="T70" i="21"/>
  <c r="T77" i="21"/>
  <c r="T302" i="19"/>
  <c r="T290" i="19"/>
  <c r="O209" i="19"/>
  <c r="O211" i="19"/>
  <c r="O215" i="19"/>
  <c r="O201" i="19"/>
  <c r="R258" i="19"/>
  <c r="R270" i="19"/>
  <c r="R263" i="19"/>
  <c r="Q246" i="21"/>
  <c r="Q81" i="21"/>
  <c r="AL40" i="23"/>
  <c r="AF40" i="23"/>
  <c r="AH40" i="23"/>
  <c r="AC40" i="23"/>
  <c r="R214" i="21"/>
  <c r="R216" i="21"/>
  <c r="R252" i="21"/>
  <c r="R291" i="21"/>
  <c r="R293" i="21"/>
  <c r="N315" i="21"/>
  <c r="N328" i="21"/>
  <c r="N333" i="21"/>
  <c r="N340" i="21"/>
  <c r="Q308" i="19"/>
  <c r="O530" i="19"/>
  <c r="O202" i="19"/>
  <c r="O203" i="19"/>
  <c r="P200" i="19"/>
  <c r="Q197" i="19"/>
  <c r="Q206" i="19"/>
  <c r="Q245" i="21"/>
  <c r="Q253" i="21"/>
  <c r="Q148" i="21"/>
  <c r="AC41" i="23"/>
  <c r="AM40" i="23"/>
  <c r="AG40" i="23"/>
  <c r="AH41" i="23"/>
  <c r="AF41" i="23"/>
  <c r="R281" i="19"/>
  <c r="R283" i="19"/>
  <c r="R277" i="19"/>
  <c r="R265" i="19"/>
  <c r="S262" i="19"/>
  <c r="T237" i="19"/>
  <c r="T240" i="19"/>
  <c r="N342" i="21"/>
  <c r="S271" i="19"/>
  <c r="R301" i="19"/>
  <c r="R278" i="19"/>
  <c r="R243" i="19"/>
  <c r="R244" i="19"/>
  <c r="AI40" i="23"/>
  <c r="R272" i="19"/>
  <c r="I61" i="23"/>
  <c r="I102" i="23"/>
  <c r="I89" i="23"/>
  <c r="U467" i="19"/>
  <c r="U468" i="19"/>
  <c r="U159" i="19"/>
  <c r="U161" i="19"/>
  <c r="U167" i="19"/>
  <c r="U475" i="19"/>
  <c r="AE40" i="23"/>
  <c r="R303" i="21"/>
  <c r="R305" i="21"/>
  <c r="R309" i="21"/>
  <c r="R321" i="21"/>
  <c r="R323" i="21"/>
  <c r="T100" i="21"/>
  <c r="T101" i="21"/>
  <c r="T480" i="19"/>
  <c r="R217" i="19"/>
  <c r="R220" i="19"/>
  <c r="R224" i="19"/>
  <c r="R227" i="19"/>
  <c r="T540" i="19"/>
  <c r="T133" i="21"/>
  <c r="T137" i="21"/>
  <c r="U287" i="19"/>
  <c r="N157" i="21"/>
  <c r="N158" i="21"/>
  <c r="U289" i="19"/>
  <c r="T242" i="19"/>
  <c r="T248" i="19"/>
  <c r="T253" i="19"/>
  <c r="AC42" i="23"/>
  <c r="AG41" i="23"/>
  <c r="AM41" i="23"/>
  <c r="AF42" i="23"/>
  <c r="AH42" i="23"/>
  <c r="AI41" i="23"/>
  <c r="AE41" i="23"/>
  <c r="U168" i="19"/>
  <c r="R299" i="19"/>
  <c r="R304" i="19"/>
  <c r="U476" i="19"/>
  <c r="U250" i="19"/>
  <c r="U251" i="19"/>
  <c r="U292" i="19"/>
  <c r="U294" i="19"/>
  <c r="U288" i="19"/>
  <c r="U302" i="19"/>
  <c r="U67" i="21"/>
  <c r="U68" i="21"/>
  <c r="R306" i="19"/>
  <c r="R536" i="19"/>
  <c r="R79" i="21"/>
  <c r="S264" i="19"/>
  <c r="S254" i="19"/>
  <c r="S255" i="19"/>
  <c r="R210" i="19"/>
  <c r="R279" i="19"/>
  <c r="S298" i="19"/>
  <c r="S537" i="19"/>
  <c r="S212" i="21"/>
  <c r="P529" i="19"/>
  <c r="O531" i="19"/>
  <c r="O235" i="21"/>
  <c r="O228" i="19"/>
  <c r="O229" i="19"/>
  <c r="S269" i="19"/>
  <c r="R538" i="19"/>
  <c r="R120" i="21"/>
  <c r="O149" i="21"/>
  <c r="O150" i="21"/>
  <c r="AE42" i="23"/>
  <c r="AM42" i="23"/>
  <c r="AI42" i="23"/>
  <c r="AG42" i="23"/>
  <c r="O532" i="19"/>
  <c r="O122" i="21"/>
  <c r="O126" i="21"/>
  <c r="O139" i="21"/>
  <c r="J68" i="23"/>
  <c r="J67" i="23"/>
  <c r="S276" i="19"/>
  <c r="R539" i="19"/>
  <c r="R103" i="21"/>
  <c r="R107" i="21"/>
  <c r="O154" i="21"/>
  <c r="J71" i="23"/>
  <c r="P147" i="21"/>
  <c r="S258" i="19"/>
  <c r="S270" i="19"/>
  <c r="S263" i="19"/>
  <c r="V165" i="19"/>
  <c r="U479" i="19"/>
  <c r="S291" i="21"/>
  <c r="S293" i="21"/>
  <c r="S214" i="21"/>
  <c r="S216" i="21"/>
  <c r="S252" i="21"/>
  <c r="R246" i="21"/>
  <c r="R81" i="21"/>
  <c r="R308" i="19"/>
  <c r="U290" i="19"/>
  <c r="O237" i="21"/>
  <c r="O239" i="21"/>
  <c r="O88" i="21"/>
  <c r="O89" i="21"/>
  <c r="O266" i="21"/>
  <c r="J49" i="23"/>
  <c r="J50" i="23"/>
  <c r="U248" i="21"/>
  <c r="U70" i="21"/>
  <c r="U77" i="21"/>
  <c r="R245" i="21"/>
  <c r="R253" i="21"/>
  <c r="R206" i="19"/>
  <c r="R197" i="19"/>
  <c r="R148" i="21"/>
  <c r="U100" i="21"/>
  <c r="U101" i="21"/>
  <c r="U480" i="19"/>
  <c r="S278" i="19"/>
  <c r="S243" i="19"/>
  <c r="S244" i="19"/>
  <c r="U237" i="19"/>
  <c r="U240" i="19"/>
  <c r="O311" i="21"/>
  <c r="O312" i="21"/>
  <c r="O267" i="21"/>
  <c r="O269" i="21"/>
  <c r="O272" i="21"/>
  <c r="S281" i="19"/>
  <c r="S283" i="19"/>
  <c r="S277" i="19"/>
  <c r="S265" i="19"/>
  <c r="T262" i="19"/>
  <c r="AB43" i="23"/>
  <c r="J52" i="23"/>
  <c r="J101" i="23"/>
  <c r="V159" i="19"/>
  <c r="V161" i="19"/>
  <c r="V167" i="19"/>
  <c r="V475" i="19"/>
  <c r="V467" i="19"/>
  <c r="V468" i="19"/>
  <c r="S321" i="21"/>
  <c r="S323" i="21"/>
  <c r="S303" i="21"/>
  <c r="S305" i="21"/>
  <c r="S309" i="21"/>
  <c r="T271" i="19"/>
  <c r="S301" i="19"/>
  <c r="S217" i="19"/>
  <c r="S220" i="19"/>
  <c r="S224" i="19"/>
  <c r="S227" i="19"/>
  <c r="V287" i="19"/>
  <c r="U540" i="19"/>
  <c r="U133" i="21"/>
  <c r="U137" i="21"/>
  <c r="J58" i="23"/>
  <c r="O96" i="21"/>
  <c r="O109" i="21"/>
  <c r="P87" i="21"/>
  <c r="S272" i="19"/>
  <c r="P205" i="19"/>
  <c r="P207" i="19"/>
  <c r="J70" i="23"/>
  <c r="J93" i="23"/>
  <c r="J88" i="23"/>
  <c r="T298" i="19"/>
  <c r="T537" i="19"/>
  <c r="T212" i="21"/>
  <c r="S299" i="19"/>
  <c r="S304" i="19"/>
  <c r="S306" i="19"/>
  <c r="S536" i="19"/>
  <c r="S79" i="21"/>
  <c r="O315" i="21"/>
  <c r="O328" i="21"/>
  <c r="O333" i="21"/>
  <c r="O340" i="21"/>
  <c r="T269" i="19"/>
  <c r="S538" i="19"/>
  <c r="S120" i="21"/>
  <c r="S279" i="19"/>
  <c r="T264" i="19"/>
  <c r="T254" i="19"/>
  <c r="T255" i="19"/>
  <c r="V289" i="19"/>
  <c r="V168" i="19"/>
  <c r="S210" i="19"/>
  <c r="AC43" i="23"/>
  <c r="AI43" i="23"/>
  <c r="AF43" i="23"/>
  <c r="AL43" i="23"/>
  <c r="AH43" i="23"/>
  <c r="AB44" i="23"/>
  <c r="AE43" i="23"/>
  <c r="P209" i="19"/>
  <c r="P211" i="19"/>
  <c r="P214" i="19"/>
  <c r="P215" i="19"/>
  <c r="P201" i="19"/>
  <c r="O141" i="21"/>
  <c r="J62" i="23"/>
  <c r="V67" i="21"/>
  <c r="V68" i="21"/>
  <c r="V476" i="19"/>
  <c r="V250" i="19"/>
  <c r="V251" i="19"/>
  <c r="V292" i="19"/>
  <c r="V294" i="19"/>
  <c r="V288" i="19"/>
  <c r="U242" i="19"/>
  <c r="U248" i="19"/>
  <c r="U253" i="19"/>
  <c r="V290" i="19"/>
  <c r="W287" i="19"/>
  <c r="V540" i="19"/>
  <c r="V133" i="21"/>
  <c r="V137" i="21"/>
  <c r="J61" i="23"/>
  <c r="J102" i="23"/>
  <c r="J89" i="23"/>
  <c r="T258" i="19"/>
  <c r="T270" i="19"/>
  <c r="T263" i="19"/>
  <c r="S308" i="19"/>
  <c r="O158" i="21"/>
  <c r="O157" i="21"/>
  <c r="P530" i="19"/>
  <c r="P202" i="19"/>
  <c r="P203" i="19"/>
  <c r="Q200" i="19"/>
  <c r="S246" i="21"/>
  <c r="S81" i="21"/>
  <c r="V302" i="19"/>
  <c r="AG43" i="23"/>
  <c r="AM44" i="23"/>
  <c r="AM43" i="23"/>
  <c r="T291" i="21"/>
  <c r="T293" i="21"/>
  <c r="T252" i="21"/>
  <c r="T214" i="21"/>
  <c r="T216" i="21"/>
  <c r="T276" i="19"/>
  <c r="S539" i="19"/>
  <c r="S103" i="21"/>
  <c r="S107" i="21"/>
  <c r="V248" i="21"/>
  <c r="V70" i="21"/>
  <c r="V77" i="21"/>
  <c r="AL44" i="23"/>
  <c r="AJ44" i="23"/>
  <c r="V479" i="19"/>
  <c r="W165" i="19"/>
  <c r="O342" i="21"/>
  <c r="Q529" i="19"/>
  <c r="T217" i="19"/>
  <c r="T220" i="19"/>
  <c r="T224" i="19"/>
  <c r="T227" i="19"/>
  <c r="U271" i="19"/>
  <c r="T301" i="19"/>
  <c r="W467" i="19"/>
  <c r="W468" i="19"/>
  <c r="W159" i="19"/>
  <c r="W161" i="19"/>
  <c r="W167" i="19"/>
  <c r="W475" i="19"/>
  <c r="T281" i="19"/>
  <c r="T283" i="19"/>
  <c r="T277" i="19"/>
  <c r="T278" i="19"/>
  <c r="T299" i="19"/>
  <c r="T304" i="19"/>
  <c r="T265" i="19"/>
  <c r="U262" i="19"/>
  <c r="T303" i="21"/>
  <c r="T305" i="21"/>
  <c r="T309" i="21"/>
  <c r="T321" i="21"/>
  <c r="T323" i="21"/>
  <c r="T272" i="19"/>
  <c r="P531" i="19"/>
  <c r="P235" i="21"/>
  <c r="P228" i="19"/>
  <c r="P229" i="19"/>
  <c r="V100" i="21"/>
  <c r="V101" i="21"/>
  <c r="V480" i="19"/>
  <c r="S197" i="19"/>
  <c r="S148" i="21"/>
  <c r="S206" i="19"/>
  <c r="S245" i="21"/>
  <c r="S253" i="21"/>
  <c r="V237" i="19"/>
  <c r="V240" i="19"/>
  <c r="P149" i="21"/>
  <c r="P150" i="21"/>
  <c r="T243" i="19"/>
  <c r="T244" i="19"/>
  <c r="W289" i="19"/>
  <c r="P237" i="21"/>
  <c r="P239" i="21"/>
  <c r="P88" i="21"/>
  <c r="P89" i="21"/>
  <c r="P266" i="21"/>
  <c r="K49" i="23"/>
  <c r="K50" i="23"/>
  <c r="K52" i="23"/>
  <c r="K101" i="23"/>
  <c r="F101" i="23"/>
  <c r="H36" i="25"/>
  <c r="U269" i="19"/>
  <c r="T538" i="19"/>
  <c r="T120" i="21"/>
  <c r="V242" i="19"/>
  <c r="V248" i="19"/>
  <c r="V253" i="19"/>
  <c r="U298" i="19"/>
  <c r="U537" i="19"/>
  <c r="U212" i="21"/>
  <c r="T279" i="19"/>
  <c r="U264" i="19"/>
  <c r="U254" i="19"/>
  <c r="U255" i="19"/>
  <c r="T210" i="19"/>
  <c r="P154" i="21"/>
  <c r="K71" i="23"/>
  <c r="Q147" i="21"/>
  <c r="W168" i="19"/>
  <c r="T536" i="19"/>
  <c r="T79" i="21"/>
  <c r="T306" i="19"/>
  <c r="T308" i="19"/>
  <c r="P532" i="19"/>
  <c r="P122" i="21"/>
  <c r="P126" i="21"/>
  <c r="P139" i="21"/>
  <c r="K68" i="23"/>
  <c r="K67" i="23"/>
  <c r="W476" i="19"/>
  <c r="W250" i="19"/>
  <c r="W251" i="19"/>
  <c r="W292" i="19"/>
  <c r="W294" i="19"/>
  <c r="W288" i="19"/>
  <c r="W67" i="21"/>
  <c r="W68" i="21"/>
  <c r="W70" i="21"/>
  <c r="W77" i="21"/>
  <c r="W248" i="21"/>
  <c r="U263" i="19"/>
  <c r="U258" i="19"/>
  <c r="U270" i="19"/>
  <c r="U272" i="19"/>
  <c r="T246" i="21"/>
  <c r="T81" i="21"/>
  <c r="X165" i="19"/>
  <c r="W479" i="19"/>
  <c r="W302" i="19"/>
  <c r="W290" i="19"/>
  <c r="U276" i="19"/>
  <c r="T539" i="19"/>
  <c r="T103" i="21"/>
  <c r="T107" i="21"/>
  <c r="Q205" i="19"/>
  <c r="Q207" i="19"/>
  <c r="U291" i="21"/>
  <c r="U293" i="21"/>
  <c r="U252" i="21"/>
  <c r="U214" i="21"/>
  <c r="U216" i="21"/>
  <c r="P267" i="21"/>
  <c r="P269" i="21"/>
  <c r="P272" i="21"/>
  <c r="P311" i="21"/>
  <c r="P312" i="21"/>
  <c r="K93" i="23"/>
  <c r="K88" i="23"/>
  <c r="K70" i="23"/>
  <c r="P96" i="21"/>
  <c r="P109" i="21"/>
  <c r="K58" i="23"/>
  <c r="Q87" i="21"/>
  <c r="U278" i="19"/>
  <c r="U243" i="19"/>
  <c r="U244" i="19"/>
  <c r="U217" i="19"/>
  <c r="U220" i="19"/>
  <c r="U224" i="19"/>
  <c r="U227" i="19"/>
  <c r="X287" i="19"/>
  <c r="W540" i="19"/>
  <c r="W133" i="21"/>
  <c r="W137" i="21"/>
  <c r="U301" i="19"/>
  <c r="V271" i="19"/>
  <c r="P328" i="21"/>
  <c r="P333" i="21"/>
  <c r="P340" i="21"/>
  <c r="P315" i="21"/>
  <c r="P141" i="21"/>
  <c r="K62" i="23"/>
  <c r="U281" i="19"/>
  <c r="U283" i="19"/>
  <c r="U277" i="19"/>
  <c r="U299" i="19"/>
  <c r="U265" i="19"/>
  <c r="V262" i="19"/>
  <c r="U303" i="21"/>
  <c r="U305" i="21"/>
  <c r="U309" i="21"/>
  <c r="U321" i="21"/>
  <c r="U323" i="21"/>
  <c r="W237" i="19"/>
  <c r="W240" i="19"/>
  <c r="Q209" i="19"/>
  <c r="Q211" i="19"/>
  <c r="Q215" i="19"/>
  <c r="Q201" i="19"/>
  <c r="Q214" i="19"/>
  <c r="X159" i="19"/>
  <c r="X161" i="19"/>
  <c r="X167" i="19"/>
  <c r="X475" i="19"/>
  <c r="X467" i="19"/>
  <c r="X468" i="19"/>
  <c r="U538" i="19"/>
  <c r="U120" i="21"/>
  <c r="V269" i="19"/>
  <c r="W100" i="21"/>
  <c r="W101" i="21"/>
  <c r="W480" i="19"/>
  <c r="T206" i="19"/>
  <c r="T245" i="21"/>
  <c r="T253" i="21"/>
  <c r="T148" i="21"/>
  <c r="T197" i="19"/>
  <c r="Q530" i="19"/>
  <c r="Q202" i="19"/>
  <c r="Q203" i="19"/>
  <c r="R200" i="19"/>
  <c r="V264" i="19"/>
  <c r="V254" i="19"/>
  <c r="V255" i="19"/>
  <c r="X476" i="19"/>
  <c r="X250" i="19"/>
  <c r="X251" i="19"/>
  <c r="X292" i="19"/>
  <c r="X294" i="19"/>
  <c r="X288" i="19"/>
  <c r="X67" i="21"/>
  <c r="X68" i="21"/>
  <c r="U304" i="19"/>
  <c r="X289" i="19"/>
  <c r="K102" i="23"/>
  <c r="F102" i="23"/>
  <c r="H37" i="25"/>
  <c r="H38" i="25"/>
  <c r="K89" i="23"/>
  <c r="K61" i="23"/>
  <c r="U210" i="19"/>
  <c r="P157" i="21"/>
  <c r="P158" i="21"/>
  <c r="U279" i="19"/>
  <c r="V537" i="19"/>
  <c r="V212" i="21"/>
  <c r="V298" i="19"/>
  <c r="X168" i="19"/>
  <c r="X479" i="19"/>
  <c r="W242" i="19"/>
  <c r="W248" i="19"/>
  <c r="W253" i="19"/>
  <c r="P342" i="21"/>
  <c r="K340" i="21"/>
  <c r="U306" i="19"/>
  <c r="U308" i="19"/>
  <c r="U536" i="19"/>
  <c r="U79" i="21"/>
  <c r="X302" i="19"/>
  <c r="U246" i="21"/>
  <c r="U81" i="21"/>
  <c r="V263" i="19"/>
  <c r="V258" i="19"/>
  <c r="V270" i="19"/>
  <c r="X290" i="19"/>
  <c r="X540" i="19"/>
  <c r="X133" i="21"/>
  <c r="X137" i="21"/>
  <c r="R202" i="19"/>
  <c r="R529" i="19"/>
  <c r="R532" i="19"/>
  <c r="R122" i="21"/>
  <c r="R126" i="21"/>
  <c r="R139" i="21"/>
  <c r="R203" i="19"/>
  <c r="S200" i="19"/>
  <c r="X248" i="21"/>
  <c r="X70" i="21"/>
  <c r="X77" i="21"/>
  <c r="U539" i="19"/>
  <c r="U103" i="21"/>
  <c r="U107" i="21"/>
  <c r="V276" i="19"/>
  <c r="Q531" i="19"/>
  <c r="Q235" i="21"/>
  <c r="Q228" i="19"/>
  <c r="V252" i="21"/>
  <c r="V291" i="21"/>
  <c r="V293" i="21"/>
  <c r="V214" i="21"/>
  <c r="V216" i="21"/>
  <c r="X100" i="21"/>
  <c r="X101" i="21"/>
  <c r="X480" i="19"/>
  <c r="Q149" i="21"/>
  <c r="Q150" i="21"/>
  <c r="Q532" i="19"/>
  <c r="Q122" i="21"/>
  <c r="Q126" i="21"/>
  <c r="Q139" i="21"/>
  <c r="Q237" i="21"/>
  <c r="Q239" i="21"/>
  <c r="Q266" i="21"/>
  <c r="R531" i="19"/>
  <c r="R235" i="21"/>
  <c r="R228" i="19"/>
  <c r="R229" i="19"/>
  <c r="Q154" i="21"/>
  <c r="R147" i="21"/>
  <c r="V278" i="19"/>
  <c r="V243" i="19"/>
  <c r="V244" i="19"/>
  <c r="W271" i="19"/>
  <c r="V301" i="19"/>
  <c r="V272" i="19"/>
  <c r="V281" i="19"/>
  <c r="V283" i="19"/>
  <c r="V277" i="19"/>
  <c r="V265" i="19"/>
  <c r="W262" i="19"/>
  <c r="X237" i="19"/>
  <c r="X240" i="19"/>
  <c r="V321" i="21"/>
  <c r="V323" i="21"/>
  <c r="V303" i="21"/>
  <c r="V305" i="21"/>
  <c r="V309" i="21"/>
  <c r="U197" i="19"/>
  <c r="U245" i="21"/>
  <c r="U253" i="21"/>
  <c r="U206" i="19"/>
  <c r="U148" i="21"/>
  <c r="V217" i="19"/>
  <c r="V220" i="19"/>
  <c r="V224" i="19"/>
  <c r="V227" i="19"/>
  <c r="S529" i="19"/>
  <c r="S532" i="19"/>
  <c r="S122" i="21"/>
  <c r="S126" i="21"/>
  <c r="S139" i="21"/>
  <c r="S202" i="19"/>
  <c r="S203" i="19"/>
  <c r="T200" i="19"/>
  <c r="X242" i="19"/>
  <c r="X248" i="19"/>
  <c r="X253" i="19"/>
  <c r="W264" i="19"/>
  <c r="W254" i="19"/>
  <c r="W255" i="19"/>
  <c r="R150" i="21"/>
  <c r="R205" i="19"/>
  <c r="R207" i="19"/>
  <c r="V210" i="19"/>
  <c r="V299" i="19"/>
  <c r="V304" i="19"/>
  <c r="V306" i="19"/>
  <c r="V308" i="19"/>
  <c r="V536" i="19"/>
  <c r="V79" i="21"/>
  <c r="W269" i="19"/>
  <c r="V538" i="19"/>
  <c r="V120" i="21"/>
  <c r="R266" i="21"/>
  <c r="R237" i="21"/>
  <c r="R239" i="21"/>
  <c r="R88" i="21"/>
  <c r="T202" i="19"/>
  <c r="T529" i="19"/>
  <c r="T532" i="19"/>
  <c r="T122" i="21"/>
  <c r="T126" i="21"/>
  <c r="T139" i="21"/>
  <c r="T203" i="19"/>
  <c r="U200" i="19"/>
  <c r="S531" i="19"/>
  <c r="S235" i="21"/>
  <c r="S228" i="19"/>
  <c r="S229" i="19"/>
  <c r="W537" i="19"/>
  <c r="W212" i="21"/>
  <c r="W298" i="19"/>
  <c r="Q311" i="21"/>
  <c r="Q267" i="21"/>
  <c r="Q269" i="21"/>
  <c r="Q272" i="21"/>
  <c r="V279" i="19"/>
  <c r="Q88" i="21"/>
  <c r="Q89" i="21"/>
  <c r="Q315" i="21"/>
  <c r="R311" i="21"/>
  <c r="R312" i="21"/>
  <c r="R267" i="21"/>
  <c r="R269" i="21"/>
  <c r="R272" i="21"/>
  <c r="R215" i="19"/>
  <c r="R201" i="19"/>
  <c r="R530" i="19"/>
  <c r="R149" i="21"/>
  <c r="R214" i="19"/>
  <c r="W291" i="21"/>
  <c r="W293" i="21"/>
  <c r="W252" i="21"/>
  <c r="W214" i="21"/>
  <c r="W216" i="21"/>
  <c r="R154" i="21"/>
  <c r="S147" i="21"/>
  <c r="R87" i="21"/>
  <c r="Q96" i="21"/>
  <c r="Q109" i="21"/>
  <c r="Q141" i="21"/>
  <c r="S266" i="21"/>
  <c r="S237" i="21"/>
  <c r="S239" i="21"/>
  <c r="S88" i="21"/>
  <c r="V539" i="19"/>
  <c r="V103" i="21"/>
  <c r="V107" i="21"/>
  <c r="W276" i="19"/>
  <c r="U202" i="19"/>
  <c r="U529" i="19"/>
  <c r="U532" i="19"/>
  <c r="U122" i="21"/>
  <c r="U126" i="21"/>
  <c r="U139" i="21"/>
  <c r="U203" i="19"/>
  <c r="V200" i="19"/>
  <c r="V246" i="21"/>
  <c r="V81" i="21"/>
  <c r="W263" i="19"/>
  <c r="W258" i="19"/>
  <c r="W270" i="19"/>
  <c r="W272" i="19"/>
  <c r="T531" i="19"/>
  <c r="T235" i="21"/>
  <c r="T228" i="19"/>
  <c r="T229" i="19"/>
  <c r="X269" i="19"/>
  <c r="W538" i="19"/>
  <c r="W120" i="21"/>
  <c r="S311" i="21"/>
  <c r="S312" i="21"/>
  <c r="S267" i="21"/>
  <c r="S269" i="21"/>
  <c r="S272" i="21"/>
  <c r="W321" i="21"/>
  <c r="W323" i="21"/>
  <c r="W303" i="21"/>
  <c r="W305" i="21"/>
  <c r="W309" i="21"/>
  <c r="Q157" i="21"/>
  <c r="Q158" i="21"/>
  <c r="W281" i="19"/>
  <c r="W283" i="19"/>
  <c r="W277" i="19"/>
  <c r="W265" i="19"/>
  <c r="X262" i="19"/>
  <c r="V197" i="19"/>
  <c r="V206" i="19"/>
  <c r="V148" i="21"/>
  <c r="V245" i="21"/>
  <c r="V253" i="21"/>
  <c r="V203" i="19"/>
  <c r="W200" i="19"/>
  <c r="V529" i="19"/>
  <c r="V532" i="19"/>
  <c r="V122" i="21"/>
  <c r="V126" i="21"/>
  <c r="V139" i="21"/>
  <c r="V202" i="19"/>
  <c r="R89" i="21"/>
  <c r="R209" i="19"/>
  <c r="R211" i="19"/>
  <c r="S150" i="21"/>
  <c r="S205" i="19"/>
  <c r="S207" i="19"/>
  <c r="U531" i="19"/>
  <c r="U235" i="21"/>
  <c r="U228" i="19"/>
  <c r="U229" i="19"/>
  <c r="W278" i="19"/>
  <c r="W243" i="19"/>
  <c r="W244" i="19"/>
  <c r="T266" i="21"/>
  <c r="T237" i="21"/>
  <c r="T239" i="21"/>
  <c r="T88" i="21"/>
  <c r="W301" i="19"/>
  <c r="X271" i="19"/>
  <c r="W217" i="19"/>
  <c r="W220" i="19"/>
  <c r="W224" i="19"/>
  <c r="W227" i="19"/>
  <c r="R315" i="21"/>
  <c r="R328" i="21"/>
  <c r="R333" i="21"/>
  <c r="R340" i="21"/>
  <c r="R342" i="21"/>
  <c r="W210" i="19"/>
  <c r="U266" i="21"/>
  <c r="U237" i="21"/>
  <c r="U239" i="21"/>
  <c r="U88" i="21"/>
  <c r="W529" i="19"/>
  <c r="W532" i="19"/>
  <c r="W122" i="21"/>
  <c r="W126" i="21"/>
  <c r="W139" i="21"/>
  <c r="W203" i="19"/>
  <c r="X200" i="19"/>
  <c r="W202" i="19"/>
  <c r="X298" i="19"/>
  <c r="X537" i="19"/>
  <c r="X212" i="21"/>
  <c r="S214" i="19"/>
  <c r="S215" i="19"/>
  <c r="S201" i="19"/>
  <c r="S530" i="19"/>
  <c r="S149" i="21"/>
  <c r="S154" i="21"/>
  <c r="T147" i="21"/>
  <c r="S328" i="21"/>
  <c r="S333" i="21"/>
  <c r="S340" i="21"/>
  <c r="S342" i="21"/>
  <c r="S315" i="21"/>
  <c r="W306" i="19"/>
  <c r="W536" i="19"/>
  <c r="W79" i="21"/>
  <c r="T267" i="21"/>
  <c r="T269" i="21"/>
  <c r="T272" i="21"/>
  <c r="T311" i="21"/>
  <c r="T312" i="21"/>
  <c r="R96" i="21"/>
  <c r="R109" i="21"/>
  <c r="R141" i="21"/>
  <c r="S87" i="21"/>
  <c r="X264" i="19"/>
  <c r="X254" i="19"/>
  <c r="X255" i="19"/>
  <c r="W279" i="19"/>
  <c r="V531" i="19"/>
  <c r="V235" i="21"/>
  <c r="V228" i="19"/>
  <c r="V229" i="19"/>
  <c r="W299" i="19"/>
  <c r="W304" i="19"/>
  <c r="R157" i="21"/>
  <c r="R158" i="21"/>
  <c r="T150" i="21"/>
  <c r="T205" i="19"/>
  <c r="T207" i="19"/>
  <c r="V237" i="21"/>
  <c r="V239" i="21"/>
  <c r="V88" i="21"/>
  <c r="V266" i="21"/>
  <c r="X202" i="19"/>
  <c r="X203" i="19"/>
  <c r="X529" i="19"/>
  <c r="X532" i="19"/>
  <c r="X122" i="21"/>
  <c r="T315" i="21"/>
  <c r="T328" i="21"/>
  <c r="T333" i="21"/>
  <c r="T340" i="21"/>
  <c r="T342" i="21"/>
  <c r="X291" i="21"/>
  <c r="X293" i="21"/>
  <c r="X252" i="21"/>
  <c r="X214" i="21"/>
  <c r="X216" i="21"/>
  <c r="U311" i="21"/>
  <c r="U312" i="21"/>
  <c r="U267" i="21"/>
  <c r="U269" i="21"/>
  <c r="U272" i="21"/>
  <c r="X276" i="19"/>
  <c r="W539" i="19"/>
  <c r="W103" i="21"/>
  <c r="W107" i="21"/>
  <c r="W246" i="21"/>
  <c r="W81" i="21"/>
  <c r="W308" i="19"/>
  <c r="S89" i="21"/>
  <c r="S209" i="19"/>
  <c r="S211" i="19"/>
  <c r="X263" i="19"/>
  <c r="X258" i="19"/>
  <c r="X270" i="19"/>
  <c r="W228" i="19"/>
  <c r="W229" i="19"/>
  <c r="W531" i="19"/>
  <c r="W235" i="21"/>
  <c r="T87" i="21"/>
  <c r="S96" i="21"/>
  <c r="S109" i="21"/>
  <c r="S141" i="21"/>
  <c r="X531" i="19"/>
  <c r="X235" i="21"/>
  <c r="X228" i="19"/>
  <c r="X217" i="19"/>
  <c r="X220" i="19"/>
  <c r="X224" i="19"/>
  <c r="X227" i="19"/>
  <c r="V311" i="21"/>
  <c r="V312" i="21"/>
  <c r="V267" i="21"/>
  <c r="V269" i="21"/>
  <c r="V272" i="21"/>
  <c r="U315" i="21"/>
  <c r="U328" i="21"/>
  <c r="U333" i="21"/>
  <c r="U340" i="21"/>
  <c r="U342" i="21"/>
  <c r="W266" i="21"/>
  <c r="W237" i="21"/>
  <c r="W239" i="21"/>
  <c r="W88" i="21"/>
  <c r="W245" i="21"/>
  <c r="W253" i="21"/>
  <c r="W148" i="21"/>
  <c r="W197" i="19"/>
  <c r="W206" i="19"/>
  <c r="X321" i="21"/>
  <c r="X323" i="21"/>
  <c r="X303" i="21"/>
  <c r="X305" i="21"/>
  <c r="X309" i="21"/>
  <c r="T215" i="19"/>
  <c r="T201" i="19"/>
  <c r="T530" i="19"/>
  <c r="T149" i="21"/>
  <c r="T214" i="19"/>
  <c r="T154" i="21"/>
  <c r="U147" i="21"/>
  <c r="X301" i="19"/>
  <c r="X272" i="19"/>
  <c r="X538" i="19"/>
  <c r="X120" i="21"/>
  <c r="X126" i="21"/>
  <c r="X139" i="21"/>
  <c r="X281" i="19"/>
  <c r="X283" i="19"/>
  <c r="X277" i="19"/>
  <c r="X265" i="19"/>
  <c r="X278" i="19"/>
  <c r="X243" i="19"/>
  <c r="X244" i="19"/>
  <c r="V315" i="21"/>
  <c r="V328" i="21"/>
  <c r="V333" i="21"/>
  <c r="V340" i="21"/>
  <c r="V342" i="21"/>
  <c r="U205" i="19"/>
  <c r="U207" i="19"/>
  <c r="U150" i="21"/>
  <c r="X210" i="19"/>
  <c r="X229" i="19"/>
  <c r="X306" i="19"/>
  <c r="X536" i="19"/>
  <c r="X79" i="21"/>
  <c r="X279" i="19"/>
  <c r="X539" i="19"/>
  <c r="X103" i="21"/>
  <c r="X107" i="21"/>
  <c r="W311" i="21"/>
  <c r="W312" i="21"/>
  <c r="W267" i="21"/>
  <c r="W269" i="21"/>
  <c r="W272" i="21"/>
  <c r="X266" i="21"/>
  <c r="X237" i="21"/>
  <c r="X239" i="21"/>
  <c r="X88" i="21"/>
  <c r="S157" i="21"/>
  <c r="S158" i="21"/>
  <c r="X299" i="19"/>
  <c r="X304" i="19"/>
  <c r="T209" i="19"/>
  <c r="T211" i="19"/>
  <c r="T89" i="21"/>
  <c r="X311" i="21"/>
  <c r="X312" i="21"/>
  <c r="X267" i="21"/>
  <c r="X308" i="19"/>
  <c r="I308" i="19"/>
  <c r="H18" i="25"/>
  <c r="U87" i="21"/>
  <c r="T96" i="21"/>
  <c r="T109" i="21"/>
  <c r="T141" i="21"/>
  <c r="U154" i="21"/>
  <c r="V147" i="21"/>
  <c r="W328" i="21"/>
  <c r="W333" i="21"/>
  <c r="W340" i="21"/>
  <c r="W315" i="21"/>
  <c r="U214" i="19"/>
  <c r="U215" i="19"/>
  <c r="U201" i="19"/>
  <c r="U530" i="19"/>
  <c r="U149" i="21"/>
  <c r="X246" i="21"/>
  <c r="X81" i="21"/>
  <c r="W342" i="21"/>
  <c r="K373" i="19"/>
  <c r="K374" i="19"/>
  <c r="W335" i="21"/>
  <c r="W337" i="21"/>
  <c r="W341" i="21"/>
  <c r="K341" i="21"/>
  <c r="V150" i="21"/>
  <c r="V205" i="19"/>
  <c r="V207" i="19"/>
  <c r="X328" i="21"/>
  <c r="X333" i="21"/>
  <c r="X340" i="21"/>
  <c r="X342" i="21"/>
  <c r="K342" i="21"/>
  <c r="X315" i="21"/>
  <c r="K315" i="21"/>
  <c r="H30" i="25"/>
  <c r="T157" i="21"/>
  <c r="T158" i="21"/>
  <c r="X148" i="21"/>
  <c r="X245" i="21"/>
  <c r="X253" i="21"/>
  <c r="X269" i="21"/>
  <c r="X272" i="21"/>
  <c r="K272" i="21"/>
  <c r="H27" i="25"/>
  <c r="X197" i="19"/>
  <c r="X206" i="19"/>
  <c r="U89" i="21"/>
  <c r="U209" i="19"/>
  <c r="U211" i="19"/>
  <c r="U96" i="21"/>
  <c r="U109" i="21"/>
  <c r="U141" i="21"/>
  <c r="V87" i="21"/>
  <c r="V214" i="19"/>
  <c r="V215" i="19"/>
  <c r="V201" i="19"/>
  <c r="V530" i="19"/>
  <c r="V149" i="21"/>
  <c r="V154" i="21"/>
  <c r="W147" i="21"/>
  <c r="W150" i="21"/>
  <c r="W205" i="19"/>
  <c r="W207" i="19"/>
  <c r="V89" i="21"/>
  <c r="V209" i="19"/>
  <c r="V211" i="19"/>
  <c r="U158" i="21"/>
  <c r="U157" i="21"/>
  <c r="W214" i="19"/>
  <c r="W215" i="19"/>
  <c r="W201" i="19"/>
  <c r="W530" i="19"/>
  <c r="W149" i="21"/>
  <c r="W87" i="21"/>
  <c r="V96" i="21"/>
  <c r="V109" i="21"/>
  <c r="V141" i="21"/>
  <c r="X147" i="21"/>
  <c r="W154" i="21"/>
  <c r="X150" i="21"/>
  <c r="X154" i="21"/>
  <c r="X205" i="19"/>
  <c r="X207" i="19"/>
  <c r="V158" i="21"/>
  <c r="V157" i="21"/>
  <c r="W209" i="19"/>
  <c r="W211" i="19"/>
  <c r="W89" i="21"/>
  <c r="W96" i="21"/>
  <c r="W109" i="21"/>
  <c r="W141" i="21"/>
  <c r="X87" i="21"/>
  <c r="X214" i="19"/>
  <c r="X215" i="19"/>
  <c r="X201" i="19"/>
  <c r="X530" i="19"/>
  <c r="X149" i="21"/>
  <c r="X89" i="21"/>
  <c r="X96" i="21"/>
  <c r="X109" i="21"/>
  <c r="X141" i="21"/>
  <c r="X209" i="19"/>
  <c r="X211" i="19"/>
  <c r="W158" i="21"/>
  <c r="W157" i="21"/>
  <c r="X157" i="21"/>
  <c r="K157" i="21"/>
  <c r="X158" i="21"/>
  <c r="K158" i="21"/>
  <c r="H24" i="25"/>
  <c r="K159" i="21"/>
  <c r="H23" i="25"/>
  <c r="H31" i="25"/>
  <c r="H40" i="25"/>
  <c r="H9" i="25"/>
  <c r="H11" i="25"/>
  <c r="B2" i="4"/>
  <c r="B2" i="25"/>
  <c r="B2" i="21"/>
  <c r="B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Taili Feng</author>
  </authors>
  <commentList>
    <comment ref="N103" authorId="0" shapeId="0" xr:uid="{9806383F-FBBB-4A8B-BEB8-77CF0412C949}">
      <text>
        <r>
          <rPr>
            <sz val="8"/>
            <color rgb="FFFF0066"/>
            <rFont val="Helvetica"/>
            <family val="2"/>
          </rPr>
          <t xml:space="preserve">boop
</t>
        </r>
      </text>
    </comment>
    <comment ref="R103" authorId="0" shapeId="0" xr:uid="{379FA230-0444-4146-9CAD-439C330583BE}">
      <text>
        <r>
          <rPr>
            <sz val="8"/>
            <color rgb="FFFF0066"/>
            <rFont val="Helvetica"/>
            <family val="2"/>
          </rPr>
          <t>fdsf</t>
        </r>
      </text>
    </comment>
    <comment ref="D116" authorId="0" shapeId="0" xr:uid="{46E87A19-CBB4-494D-A201-AE83DE4DAB7B}">
      <text>
        <r>
          <rPr>
            <sz val="8"/>
            <color rgb="FFFF0066"/>
            <rFont val="Helvetica"/>
            <family val="2"/>
          </rPr>
          <t>dsfdsf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Taili Feng</author>
  </authors>
  <commentList>
    <comment ref="K157" authorId="0" shapeId="0" xr:uid="{AF08F5DF-2CDF-4B1C-B613-EF72C3F34611}">
      <text>
        <r>
          <rPr>
            <sz val="8"/>
            <color rgb="FFFF0066"/>
            <rFont val="Helvetica"/>
            <family val="2"/>
          </rPr>
          <t>Bloop @C3PO can you double check this equation? It's throwing error values for June 18 and after. Thank bleep!</t>
        </r>
      </text>
    </comment>
  </commentList>
</comments>
</file>

<file path=xl/sharedStrings.xml><?xml version="1.0" encoding="utf-8"?>
<sst xmlns="http://schemas.openxmlformats.org/spreadsheetml/2006/main" count="604" uniqueCount="458">
  <si>
    <t>Model Developer:</t>
  </si>
  <si>
    <t>Joseph McDaid</t>
  </si>
  <si>
    <t>Template Version:</t>
  </si>
  <si>
    <t>Status:</t>
  </si>
  <si>
    <t>WIP</t>
  </si>
  <si>
    <t xml:space="preserve">This model is confidential information of, and is owned by, Modelogic Pty Ltd ABN 38 158 017 166 (Modelogic).  It may not be provided to, or used or relied on by, any person without the consent of Client and Modelogic.
Modelogic has not verified the inputs or the outputs of this model and makes no representation or warranty as to the completeness, accuracy, reliability or appropriateness of the model, its inputs and outputs (including any forward looking statements) or how it functions.  To the extent permitted by law, any person using or relying on this model or its outputs does so at their own risk and agrees that Modelogic will not be liable to any person for any loss or damage of any kind arising out of or in any way connected with the use of this model (including negligence).   The references to Client and Modelogic in this disclaimer include their respective directors, officers, employees, advisers or agents.
© Modelogic Pty Ltd
</t>
  </si>
  <si>
    <t>Purpose of the Model:</t>
  </si>
  <si>
    <t>This model demonstrates the basic building blocks of a financial model.</t>
  </si>
  <si>
    <t>Assumptions</t>
  </si>
  <si>
    <t>Cells containing assumptions intended to be manipulated by model users</t>
  </si>
  <si>
    <t>Input</t>
  </si>
  <si>
    <t>Cells containing input texts/numbers NOT intended to be changed by model users</t>
  </si>
  <si>
    <t>Output</t>
  </si>
  <si>
    <t>Cells containing formulae NOT intended to be changed by model users</t>
  </si>
  <si>
    <t>Heading 1</t>
  </si>
  <si>
    <t>Level 1 heading NOT intended to be changed by model users</t>
  </si>
  <si>
    <t>Heading 2</t>
  </si>
  <si>
    <t>Level 2 heading NOT intended to be changed by model users</t>
  </si>
  <si>
    <t>Basic Template Model - Assumptions</t>
  </si>
  <si>
    <t>Model Assumptions</t>
  </si>
  <si>
    <t>Periodicity Assumptions</t>
  </si>
  <si>
    <t>Period Length</t>
  </si>
  <si>
    <t>Periods Per Year</t>
  </si>
  <si>
    <t>Start Date</t>
  </si>
  <si>
    <t>Financial Year End Month</t>
  </si>
  <si>
    <t>Financial Year Start Month</t>
  </si>
  <si>
    <t>Base Currency</t>
  </si>
  <si>
    <t>[A$]</t>
  </si>
  <si>
    <t>Operational</t>
  </si>
  <si>
    <t>Revenues</t>
  </si>
  <si>
    <t>Revenue Category</t>
  </si>
  <si>
    <t>Cross Tot.</t>
  </si>
  <si>
    <t>Revenue Category 1</t>
  </si>
  <si>
    <t>Revenue Category 2</t>
  </si>
  <si>
    <t>Revenue Category 3</t>
  </si>
  <si>
    <t>Revenue Category 4</t>
  </si>
  <si>
    <t>Revenue Category 5</t>
  </si>
  <si>
    <t>Sub Total</t>
  </si>
  <si>
    <t>Total Revenue</t>
  </si>
  <si>
    <t>Cost of Sales</t>
  </si>
  <si>
    <t>Base</t>
  </si>
  <si>
    <t>Expense With Growth Rates</t>
  </si>
  <si>
    <t>Growth Rates</t>
  </si>
  <si>
    <t>Cost of Sales Category 1</t>
  </si>
  <si>
    <t>%</t>
  </si>
  <si>
    <t>Cost of Sales Category 2</t>
  </si>
  <si>
    <t>Cost of Sales Category 3</t>
  </si>
  <si>
    <t>Cost of Sales Category 4</t>
  </si>
  <si>
    <t>Cost of Sales Category 5</t>
  </si>
  <si>
    <t>Total Cost of Sales</t>
  </si>
  <si>
    <t>Operating Expenditure</t>
  </si>
  <si>
    <t>Recurring Expenses</t>
  </si>
  <si>
    <t>Amt.</t>
  </si>
  <si>
    <t>Recurrence</t>
  </si>
  <si>
    <t>Start Period</t>
  </si>
  <si>
    <t>Expense Category 1</t>
  </si>
  <si>
    <t>Expense Category 2</t>
  </si>
  <si>
    <t>Expense Category 3</t>
  </si>
  <si>
    <t>Expense Category 4</t>
  </si>
  <si>
    <t>Expense Category 5</t>
  </si>
  <si>
    <t>Total Opex</t>
  </si>
  <si>
    <t>Capital Expenditure</t>
  </si>
  <si>
    <t>Capex Category</t>
  </si>
  <si>
    <t>Capex Category 1</t>
  </si>
  <si>
    <t>Capex Category 2</t>
  </si>
  <si>
    <t>Capex Category 3</t>
  </si>
  <si>
    <t>Capex Category 4</t>
  </si>
  <si>
    <t>Capex Category 5</t>
  </si>
  <si>
    <t>Total Capex</t>
  </si>
  <si>
    <t>Working Capital</t>
  </si>
  <si>
    <t>Operating Receivables</t>
  </si>
  <si>
    <t>Operating Receivables Category 1</t>
  </si>
  <si>
    <t>30 Days Receivable</t>
  </si>
  <si>
    <t>Days Receivable:</t>
  </si>
  <si>
    <t>Opening Balance</t>
  </si>
  <si>
    <t>Revenue</t>
  </si>
  <si>
    <t>Cash Receipts</t>
  </si>
  <si>
    <t>Closing Balance</t>
  </si>
  <si>
    <t>Operating Payables</t>
  </si>
  <si>
    <t>Operating Payables Category 1</t>
  </si>
  <si>
    <t>Days Payable:</t>
  </si>
  <si>
    <t>Expenses</t>
  </si>
  <si>
    <t>Cash Payments</t>
  </si>
  <si>
    <t>Operating Payables Category 2</t>
  </si>
  <si>
    <t>Implied Days Payable:</t>
  </si>
  <si>
    <t>Assets</t>
  </si>
  <si>
    <t>Book Assets</t>
  </si>
  <si>
    <t>Asset Class # 1</t>
  </si>
  <si>
    <t xml:space="preserve">Methodology </t>
  </si>
  <si>
    <t>Depreciation Methodology</t>
  </si>
  <si>
    <t>[x]</t>
  </si>
  <si>
    <t>Remaining Life of Opening (SL)</t>
  </si>
  <si>
    <t>[Years]</t>
  </si>
  <si>
    <t>Depreciation Term</t>
  </si>
  <si>
    <t>Capex Timing</t>
  </si>
  <si>
    <t>[%]</t>
  </si>
  <si>
    <t>Workings</t>
  </si>
  <si>
    <t>Calculations</t>
  </si>
  <si>
    <t>Final Period  (SL)</t>
  </si>
  <si>
    <t>[period]</t>
  </si>
  <si>
    <t>Final Depreciation (SL)</t>
  </si>
  <si>
    <t>Interim Look Back (SL)</t>
  </si>
  <si>
    <t>New Acquired Write down (DV)</t>
  </si>
  <si>
    <t>Existing Asset Write down (DV)</t>
  </si>
  <si>
    <t>Depreciation</t>
  </si>
  <si>
    <t>Opening Depreciation (SL)</t>
  </si>
  <si>
    <t>Initial Depreciation of Capex (SL)</t>
  </si>
  <si>
    <t>Interim Depreciation of Capex (SL)</t>
  </si>
  <si>
    <t>Final Depreciation of Capex (SL)</t>
  </si>
  <si>
    <t>Opening Balance Depreciation(DV)</t>
  </si>
  <si>
    <t>Newly Acquired Depreciation (DV)</t>
  </si>
  <si>
    <t>Total Depreciation</t>
  </si>
  <si>
    <t>Asset Schedule</t>
  </si>
  <si>
    <t>Debt</t>
  </si>
  <si>
    <t>Debt Category 1</t>
  </si>
  <si>
    <t>Drawdowns/Repayments % into Period</t>
  </si>
  <si>
    <t>Drawdown</t>
  </si>
  <si>
    <t>Repayment</t>
  </si>
  <si>
    <t>Average Debt Balance</t>
  </si>
  <si>
    <t>Interest Rate (% p.a.)</t>
  </si>
  <si>
    <t>Interest Payable Opening Balance</t>
  </si>
  <si>
    <t>Interest Expense</t>
  </si>
  <si>
    <t>Interest Paid</t>
  </si>
  <si>
    <t>Interest Payable Closing Balance</t>
  </si>
  <si>
    <t>Equity</t>
  </si>
  <si>
    <t>Opening Ordinary Equity</t>
  </si>
  <si>
    <t>Ordinary Equity Raisings</t>
  </si>
  <si>
    <t>Ordinary Equity Repayments</t>
  </si>
  <si>
    <t>Closing Ordinary Equity</t>
  </si>
  <si>
    <t>NPAT</t>
  </si>
  <si>
    <t>Dividend Payout Ratio (% of NPAT)</t>
  </si>
  <si>
    <t>Opening Dividends Payable</t>
  </si>
  <si>
    <t>Dividends Declared</t>
  </si>
  <si>
    <t>Dividends Paid</t>
  </si>
  <si>
    <t>Closing Dividends Payable</t>
  </si>
  <si>
    <t>Max Dividends Allowed</t>
  </si>
  <si>
    <t>Total Available Cash For Dividends</t>
  </si>
  <si>
    <t>Dividends Declared (Based on % NPAT)</t>
  </si>
  <si>
    <t>Dividends Declared (Based on % Max Div Allowed and Cash)</t>
  </si>
  <si>
    <t>Add back:</t>
  </si>
  <si>
    <t>Debt Interest Paid</t>
  </si>
  <si>
    <t>Cash Flow Available To Capital Providers</t>
  </si>
  <si>
    <t>Deduct:</t>
  </si>
  <si>
    <t>Cash Flow Available to Equity Holders</t>
  </si>
  <si>
    <t>Cash Flow Available for Dividends</t>
  </si>
  <si>
    <t>Net Change in Cash Flow</t>
  </si>
  <si>
    <t>Taxation</t>
  </si>
  <si>
    <t>Tax Expense</t>
  </si>
  <si>
    <t>Corporate Tax Rate</t>
  </si>
  <si>
    <t>Permanent Differences - Non Assessable Revenue</t>
  </si>
  <si>
    <t>Permanent Differences - Non Deductible Expense</t>
  </si>
  <si>
    <t>Accounting Taxable Profit / (Loss)</t>
  </si>
  <si>
    <t>Tax Expense - Unadjusted</t>
  </si>
  <si>
    <t>Revaluation of DTA/DTL</t>
  </si>
  <si>
    <t>Tax Payable</t>
  </si>
  <si>
    <t>Book Assets Depreciation</t>
  </si>
  <si>
    <t>Total Differences</t>
  </si>
  <si>
    <t>Taxable Profit / (Loss) Pre Loss Utilisation</t>
  </si>
  <si>
    <t>Taxable Profit / (Loss) Post Loss Utilisation</t>
  </si>
  <si>
    <t>Tax Losses</t>
  </si>
  <si>
    <t>Opening Tax Losses</t>
  </si>
  <si>
    <t>Tax Losses Created</t>
  </si>
  <si>
    <t>Tax Losses Utilised</t>
  </si>
  <si>
    <t>Closing Tax Losses</t>
  </si>
  <si>
    <t>Tax Payment</t>
  </si>
  <si>
    <t>Opening Tax Payable</t>
  </si>
  <si>
    <t>Tax Paid</t>
  </si>
  <si>
    <t>Closing Tax Payable</t>
  </si>
  <si>
    <t>Deferred Tax Assets</t>
  </si>
  <si>
    <t>Change of Tax Rate</t>
  </si>
  <si>
    <t>Movement in Tax Losses</t>
  </si>
  <si>
    <t>Increase / (Decrease) in DTA</t>
  </si>
  <si>
    <t>Deferred Tax Liabilities</t>
  </si>
  <si>
    <t>Temporary Differences</t>
  </si>
  <si>
    <t>Increase / (Decrease) in DTL</t>
  </si>
  <si>
    <t>Tax Reconciliation - [Checking only can be removed]</t>
  </si>
  <si>
    <t>Change in DTA</t>
  </si>
  <si>
    <t>Change in Tax Payable</t>
  </si>
  <si>
    <t>Change in DTL</t>
  </si>
  <si>
    <t>Change in Net Asset</t>
  </si>
  <si>
    <t>Check</t>
  </si>
  <si>
    <t>Difference</t>
  </si>
  <si>
    <t>Opening Balance Sheet</t>
  </si>
  <si>
    <t>Retained Profits</t>
  </si>
  <si>
    <t>Opening Cash Balance</t>
  </si>
  <si>
    <t>Opening Operating Receivables</t>
  </si>
  <si>
    <t>Opening Other Current Assets</t>
  </si>
  <si>
    <t>Total Opening Current Assets</t>
  </si>
  <si>
    <t>Opening Book Assets</t>
  </si>
  <si>
    <t>Opening Deferred Tax Assets</t>
  </si>
  <si>
    <t>Opening Other Non-Current Assets</t>
  </si>
  <si>
    <t>Total Opening Non-Current Assets</t>
  </si>
  <si>
    <t>TOTAL OPENING ASSETS</t>
  </si>
  <si>
    <t>Opening Operating Payables</t>
  </si>
  <si>
    <t>Opening Interest Payable</t>
  </si>
  <si>
    <t>Opening Other Current Liabilities</t>
  </si>
  <si>
    <t>Total Opening Current Liabilities</t>
  </si>
  <si>
    <t>Opening Debt Balance</t>
  </si>
  <si>
    <t>Opening Deferred Tax Liabilities</t>
  </si>
  <si>
    <t>TOTAL OPENING LIABILITIES</t>
  </si>
  <si>
    <t>OPENING NET ASSETS</t>
  </si>
  <si>
    <t>Opening Retained Profits</t>
  </si>
  <si>
    <t>Opening Other Equity</t>
  </si>
  <si>
    <t>OPENING TOTAL EQUITY</t>
  </si>
  <si>
    <t>Notes</t>
  </si>
  <si>
    <t>Kept constant by the model. Items allocated to these accounts have no forecast change in balance.</t>
  </si>
  <si>
    <t>Valuation</t>
  </si>
  <si>
    <t>Discounting Factors</t>
  </si>
  <si>
    <t>Cash Flow Timing</t>
  </si>
  <si>
    <t>Cash Flow Dates</t>
  </si>
  <si>
    <t>Terminal Value Dates</t>
  </si>
  <si>
    <t>Discount Basis</t>
  </si>
  <si>
    <t>Discount Rate</t>
  </si>
  <si>
    <t>Cash Flow Discount Factors</t>
  </si>
  <si>
    <t>Terminal Value Discount Factors</t>
  </si>
  <si>
    <t>Terminal Value</t>
  </si>
  <si>
    <t>Terminal Value Period</t>
  </si>
  <si>
    <t>Multiple of Value Cash Flow Terminal Value</t>
  </si>
  <si>
    <t>by</t>
  </si>
  <si>
    <t>Projected Cash Flows</t>
  </si>
  <si>
    <t>Calculated Terminal Value</t>
  </si>
  <si>
    <t>Absolute Terminal Value</t>
  </si>
  <si>
    <t>Link Out</t>
  </si>
  <si>
    <t xml:space="preserve">  </t>
  </si>
  <si>
    <t>Capex</t>
  </si>
  <si>
    <t>Book Depreciation</t>
  </si>
  <si>
    <t>Debt Balance</t>
  </si>
  <si>
    <t>Ordinary Equity</t>
  </si>
  <si>
    <t>Dividends Payable</t>
  </si>
  <si>
    <t>Financial Statements</t>
  </si>
  <si>
    <t>Profit and Loss Statement</t>
  </si>
  <si>
    <t>Gross Margin</t>
  </si>
  <si>
    <t>EBITDA</t>
  </si>
  <si>
    <t>Depreciation &amp; Amortisation</t>
  </si>
  <si>
    <t>EBIT</t>
  </si>
  <si>
    <t>Interest</t>
  </si>
  <si>
    <t>NPBT</t>
  </si>
  <si>
    <t>Balance Sheet</t>
  </si>
  <si>
    <t>Current Assets</t>
  </si>
  <si>
    <t>Movement in Cash</t>
  </si>
  <si>
    <t>Closing Cash Balance</t>
  </si>
  <si>
    <t>Total Operating Receivables</t>
  </si>
  <si>
    <t>Other Current Assets</t>
  </si>
  <si>
    <t>Total Current Assets</t>
  </si>
  <si>
    <t>Non-Current Assets</t>
  </si>
  <si>
    <t>Total Book Assets</t>
  </si>
  <si>
    <t>Other Non-Current Assets</t>
  </si>
  <si>
    <t>Total Non-Current Assets</t>
  </si>
  <si>
    <t>Total Assets</t>
  </si>
  <si>
    <t>Current Liabilities</t>
  </si>
  <si>
    <t>Total Operating Payables</t>
  </si>
  <si>
    <t>Total Debt Interest Payable</t>
  </si>
  <si>
    <t>Other Current Liabilities</t>
  </si>
  <si>
    <t>Total Current Liabilities</t>
  </si>
  <si>
    <t>Non-Current Liabilities</t>
  </si>
  <si>
    <t>Total Debt Balance</t>
  </si>
  <si>
    <t>Other Non-Current Liabilities</t>
  </si>
  <si>
    <t>Total Non-Current Liabilities</t>
  </si>
  <si>
    <t>Total Liabilities</t>
  </si>
  <si>
    <t>Net Assets</t>
  </si>
  <si>
    <t>Net Profit</t>
  </si>
  <si>
    <t>Closing Retained Profits</t>
  </si>
  <si>
    <t>Other Equity</t>
  </si>
  <si>
    <t>Total Equity</t>
  </si>
  <si>
    <t>Error Checks</t>
  </si>
  <si>
    <t>Error Count</t>
  </si>
  <si>
    <t>Error Check</t>
  </si>
  <si>
    <t>Balance Check</t>
  </si>
  <si>
    <t>Cash Flow Statement</t>
  </si>
  <si>
    <t>Direct Cash Flow Statement</t>
  </si>
  <si>
    <t>Operating Cash Flow</t>
  </si>
  <si>
    <t>∆ Operating Receivables</t>
  </si>
  <si>
    <t>∆ Operating Payables</t>
  </si>
  <si>
    <t>Total Interest Paid</t>
  </si>
  <si>
    <t>Investing Cash Flow</t>
  </si>
  <si>
    <t>Total Book Assets Capex</t>
  </si>
  <si>
    <t>Financing Cash Flow</t>
  </si>
  <si>
    <t>Total Debt Drawdowns</t>
  </si>
  <si>
    <t>Total Debt Repayments</t>
  </si>
  <si>
    <t>Indirect Cash Flow Statement</t>
  </si>
  <si>
    <t>add back</t>
  </si>
  <si>
    <t>Debt Interest Expense</t>
  </si>
  <si>
    <t>Depreciation Expense</t>
  </si>
  <si>
    <t>Direct &amp; Indirect Method Reconciliation</t>
  </si>
  <si>
    <t>Debt Analysis</t>
  </si>
  <si>
    <t>Cash Flow Available For Debt Service</t>
  </si>
  <si>
    <t>Cash Flow Before Funding</t>
  </si>
  <si>
    <t>less</t>
  </si>
  <si>
    <t>Cost of Goods Sold</t>
  </si>
  <si>
    <t>Cash flow Before Funding</t>
  </si>
  <si>
    <t>Cash Flow Available For Debt Servicing</t>
  </si>
  <si>
    <t>add</t>
  </si>
  <si>
    <t>Debt Raised</t>
  </si>
  <si>
    <t>Equity Contributed</t>
  </si>
  <si>
    <t>Income Tax Paid</t>
  </si>
  <si>
    <t xml:space="preserve">less </t>
  </si>
  <si>
    <t>Working Capital Adjustments</t>
  </si>
  <si>
    <t>CFADS</t>
  </si>
  <si>
    <t>Debt Service</t>
  </si>
  <si>
    <t xml:space="preserve">Principle </t>
  </si>
  <si>
    <t>Total Debt Service</t>
  </si>
  <si>
    <t>Cash Flow to Equity</t>
  </si>
  <si>
    <t>FTE</t>
  </si>
  <si>
    <t>Cash Flow Reconciliation</t>
  </si>
  <si>
    <t>CFAE</t>
  </si>
  <si>
    <t>Equity Repayments</t>
  </si>
  <si>
    <t>Net Cash Flow</t>
  </si>
  <si>
    <t>Cross Check to Cash Flows</t>
  </si>
  <si>
    <t>Debt Metrics</t>
  </si>
  <si>
    <t>DCSR</t>
  </si>
  <si>
    <t>over</t>
  </si>
  <si>
    <t>Scheduled Debt Service</t>
  </si>
  <si>
    <t>DSCR</t>
  </si>
  <si>
    <t>Cash Flows</t>
  </si>
  <si>
    <t>Net Cash Flows</t>
  </si>
  <si>
    <t>reverse</t>
  </si>
  <si>
    <t>Forgone Interest Tax Shield</t>
  </si>
  <si>
    <t>Debt Drawdowns</t>
  </si>
  <si>
    <t>Debt Repayments</t>
  </si>
  <si>
    <t>Pre Financing Post Tax</t>
  </si>
  <si>
    <t>Terminal Value Cash Flows</t>
  </si>
  <si>
    <t>Discounted Cash Flows</t>
  </si>
  <si>
    <t>DCF</t>
  </si>
  <si>
    <t>Configuration and Counters</t>
  </si>
  <si>
    <t>Periods</t>
  </si>
  <si>
    <t xml:space="preserve">Period Counter </t>
  </si>
  <si>
    <t xml:space="preserve">Balance Sheet Counter </t>
  </si>
  <si>
    <t>Balance Sheet Counter</t>
  </si>
  <si>
    <t>Example Dashboard</t>
  </si>
  <si>
    <t>Chart Data</t>
  </si>
  <si>
    <t>Income Statement</t>
  </si>
  <si>
    <t>Revenue Growth</t>
  </si>
  <si>
    <t>Sheet</t>
  </si>
  <si>
    <t>Row</t>
  </si>
  <si>
    <t>Type</t>
  </si>
  <si>
    <t>Inverse</t>
  </si>
  <si>
    <t xml:space="preserve">Row </t>
  </si>
  <si>
    <t>No</t>
  </si>
  <si>
    <t>Yes</t>
  </si>
  <si>
    <t>Depreciation &amp; Amort</t>
  </si>
  <si>
    <t>Reconciliation Step</t>
  </si>
  <si>
    <t>Value ($)</t>
  </si>
  <si>
    <t>Cumulative</t>
  </si>
  <si>
    <t>Negative Down</t>
  </si>
  <si>
    <t>Negative Up</t>
  </si>
  <si>
    <t>Spacer</t>
  </si>
  <si>
    <t>Positive Down</t>
  </si>
  <si>
    <t>Positive Up</t>
  </si>
  <si>
    <t>Labels</t>
  </si>
  <si>
    <t>Location</t>
  </si>
  <si>
    <t>Cash Flow</t>
  </si>
  <si>
    <t>Cost Growth</t>
  </si>
  <si>
    <t>Net Change</t>
  </si>
  <si>
    <t>Investing Cash Flows</t>
  </si>
  <si>
    <t>Debt Drawdowns/Repaym.</t>
  </si>
  <si>
    <t>Equity Drawdowns/Repaym.</t>
  </si>
  <si>
    <t>Financing Cash Flows</t>
  </si>
  <si>
    <t>Net Change in Cash Flows</t>
  </si>
  <si>
    <t>Key Ratios</t>
  </si>
  <si>
    <t>Cash</t>
  </si>
  <si>
    <t>Accounts Receivables</t>
  </si>
  <si>
    <t>Other Assets</t>
  </si>
  <si>
    <t>Accounts Payables</t>
  </si>
  <si>
    <t>Other Liabilities</t>
  </si>
  <si>
    <t>Cash Flow Waterfall</t>
  </si>
  <si>
    <t>Productivity</t>
  </si>
  <si>
    <t>Cost to Income (%)</t>
  </si>
  <si>
    <t>Effective Tax Rate (%)</t>
  </si>
  <si>
    <t>Operating Profit Margin (%)</t>
  </si>
  <si>
    <t>Returns</t>
  </si>
  <si>
    <t>ROE (%)</t>
  </si>
  <si>
    <t>ROA (%)</t>
  </si>
  <si>
    <t>Risk</t>
  </si>
  <si>
    <t>Debt to Equity (%)</t>
  </si>
  <si>
    <t>Interest Coverage (x)</t>
  </si>
  <si>
    <t>NPAT Check</t>
  </si>
  <si>
    <t>Cash Flow Check</t>
  </si>
  <si>
    <t>Balance Sheet Check</t>
  </si>
  <si>
    <t>Checks</t>
  </si>
  <si>
    <t>Model Title Message</t>
  </si>
  <si>
    <t>Error Message</t>
  </si>
  <si>
    <t>Alert Message</t>
  </si>
  <si>
    <t>Model Message</t>
  </si>
  <si>
    <t>Tax</t>
  </si>
  <si>
    <t>Tax Reconciliation Check</t>
  </si>
  <si>
    <t>Statements</t>
  </si>
  <si>
    <t>Total</t>
  </si>
  <si>
    <t>Dashboard</t>
  </si>
  <si>
    <t>Grand Total Errors</t>
  </si>
  <si>
    <t>Alerts Checks</t>
  </si>
  <si>
    <t>Lookup Sheet</t>
  </si>
  <si>
    <t>Period Ending</t>
  </si>
  <si>
    <t>Calender Quarter and Year</t>
  </si>
  <si>
    <t>Calender Year</t>
  </si>
  <si>
    <t>Financial Year</t>
  </si>
  <si>
    <t>Period Start Date (From Start of Day...)</t>
  </si>
  <si>
    <t>Period End Date (Until End of Day...)</t>
  </si>
  <si>
    <t>Months in Period</t>
  </si>
  <si>
    <t>Days in Period</t>
  </si>
  <si>
    <t>Fridays in Period</t>
  </si>
  <si>
    <t>Year Fraction</t>
  </si>
  <si>
    <t>Cumulative Year Fraction</t>
  </si>
  <si>
    <t>Days in Calender Year</t>
  </si>
  <si>
    <t>Days in Financial Year</t>
  </si>
  <si>
    <t>Counter</t>
  </si>
  <si>
    <t>Quarter Counter</t>
  </si>
  <si>
    <t>Calender Year Counter</t>
  </si>
  <si>
    <t>Financial Year Counter</t>
  </si>
  <si>
    <t>Dashboard Counter</t>
  </si>
  <si>
    <t>General Model Constant</t>
  </si>
  <si>
    <t>Name</t>
  </si>
  <si>
    <t>Mths_In_Mth</t>
  </si>
  <si>
    <t>Mths_In_Qtr</t>
  </si>
  <si>
    <t>Mths_In_Yr</t>
  </si>
  <si>
    <t>Days_In_Wk</t>
  </si>
  <si>
    <t>Q1</t>
  </si>
  <si>
    <t>Qtr_1</t>
  </si>
  <si>
    <t>Q2</t>
  </si>
  <si>
    <t>Qtr_2</t>
  </si>
  <si>
    <t>Q3</t>
  </si>
  <si>
    <t>Qtr_3</t>
  </si>
  <si>
    <t>Q4</t>
  </si>
  <si>
    <t>Qtr_4</t>
  </si>
  <si>
    <t>Half</t>
  </si>
  <si>
    <t>Ok</t>
  </si>
  <si>
    <t>Error</t>
  </si>
  <si>
    <t>Yes_No</t>
  </si>
  <si>
    <t>Period_Length</t>
  </si>
  <si>
    <t>Monthly</t>
  </si>
  <si>
    <t>Quarterly</t>
  </si>
  <si>
    <t>Yearly</t>
  </si>
  <si>
    <t>Dashboard Periods</t>
  </si>
  <si>
    <t>Dash_Periods</t>
  </si>
  <si>
    <t>Calender Years</t>
  </si>
  <si>
    <t>Financial Years</t>
  </si>
  <si>
    <t>Month</t>
  </si>
  <si>
    <t>Calander_Months</t>
  </si>
  <si>
    <t>Mth_Count_In_Qtr</t>
  </si>
  <si>
    <t>January</t>
  </si>
  <si>
    <t>February</t>
  </si>
  <si>
    <t>March</t>
  </si>
  <si>
    <t>April</t>
  </si>
  <si>
    <t>May</t>
  </si>
  <si>
    <t>June</t>
  </si>
  <si>
    <t>July</t>
  </si>
  <si>
    <t>August</t>
  </si>
  <si>
    <t>September</t>
  </si>
  <si>
    <t>October</t>
  </si>
  <si>
    <t>November</t>
  </si>
  <si>
    <t>December</t>
  </si>
  <si>
    <t>Days</t>
  </si>
  <si>
    <t>Mon</t>
  </si>
  <si>
    <t>Tue</t>
  </si>
  <si>
    <t>Wed</t>
  </si>
  <si>
    <t>Thu</t>
  </si>
  <si>
    <t>Fri</t>
  </si>
  <si>
    <t>Sat</t>
  </si>
  <si>
    <t>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</si>
</sst>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_(###0_);\(###0\);_(###0_)"/>
    <numFmt numFmtId="165" formatCode="_(#,##0.0_);\(#,##0.0\);_(&quot;-&quot;_)"/>
    <numFmt numFmtId="166" formatCode="_(#,##0.0\x_);\(#,##0.0\x\);_(&quot;-&quot;_)"/>
    <numFmt numFmtId="167" formatCode="_(#,##0.0%_);\(#,##0.0%\);_(&quot;-&quot;_)"/>
    <numFmt numFmtId="168" formatCode="_(&quot;$&quot;#,##0.00_);\(&quot;$&quot;#,##0.00\);_(&quot;-&quot;_)"/>
    <numFmt numFmtId="169" formatCode="_(#,##0_);\(#,##0\);_(&quot;-&quot;_)"/>
    <numFmt numFmtId="170" formatCode="_)d\-mmm\-yy_)"/>
    <numFmt numFmtId="171" formatCode="_(#,##0.00_);\(#,##0.00\);_(&quot;-&quot;_)"/>
    <numFmt numFmtId="172" formatCode="_(&quot;$&quot;#,##0.0_);\(&quot;$&quot;#,##0.0\);_(&quot;-&quot;_)"/>
    <numFmt numFmtId="173" formatCode="mmm\-yy_)"/>
    <numFmt numFmtId="174" formatCode="#,##0.0;\-#,##0.0;&quot;-&quot;"/>
    <numFmt numFmtId="175" formatCode="#,##0.0"/>
    <numFmt numFmtId="176" formatCode="_(#,##0.00\x_);\(#,##0.00\x\);_(&quot;-&quot;_)"/>
    <numFmt numFmtId="177" formatCode="0.0"/>
    <numFmt numFmtId="178" formatCode="0.0%"/>
    <numFmt numFmtId="179" formatCode="_(#,##0.000\x_);\(#,##0.000\x\);_(&quot;-&quot;_)"/>
    <numFmt numFmtId="180" formatCode="[&gt;=1000]#,##0,\ \k;[&lt;=-1000]\-#,##0,\ \k;#,##0"/>
    <numFmt numFmtId="181" formatCode="[Red]\●;[Red]\●;[Color10]\●"/>
    <numFmt numFmtId="182" formatCode="[Green]\●;[Red]\●;[Color16]\●"/>
  </numFmts>
  <fonts count="52">
    <font>
      <sz val="8"/>
      <color rgb="FFFF0066"/>
      <name val="Helvetica"/>
      <family val="2"/>
    </font>
    <font>
      <sz val="11"/>
      <color theme="1"/>
      <name val="Calibri"/>
      <family val="2"/>
      <scheme val="minor"/>
    </font>
    <font>
      <b/>
      <sz val="9"/>
      <color theme="1"/>
      <name val="Helvetica"/>
      <family val="2"/>
    </font>
    <font>
      <sz val="8"/>
      <color theme="1"/>
      <name val="Helvetica"/>
      <family val="2"/>
    </font>
    <font>
      <b/>
      <sz val="8"/>
      <color theme="1"/>
      <name val="Helvetica"/>
      <family val="2"/>
    </font>
    <font>
      <b/>
      <sz val="11"/>
      <color theme="1"/>
      <name val="Calibri"/>
      <family val="2"/>
      <scheme val="minor"/>
    </font>
    <font>
      <b/>
      <sz val="8"/>
      <color theme="5"/>
      <name val="Helvetica"/>
      <family val="2"/>
    </font>
    <font>
      <sz val="8"/>
      <name val="Helvetica"/>
      <family val="2"/>
    </font>
    <font>
      <sz val="8"/>
      <color rgb="FF426286"/>
      <name val="Helvetica"/>
      <family val="2"/>
    </font>
    <font>
      <i/>
      <sz val="8"/>
      <name val="Helvetica"/>
      <family val="2"/>
    </font>
    <font>
      <sz val="8"/>
      <color rgb="FF0070C0"/>
      <name val="Helvetica"/>
      <family val="2"/>
    </font>
    <font>
      <b/>
      <sz val="18"/>
      <color theme="3"/>
      <name val="Cambria"/>
      <family val="2"/>
      <scheme val="major"/>
    </font>
    <font>
      <b/>
      <sz val="10"/>
      <color theme="0"/>
      <name val="Helvetica"/>
      <family val="2"/>
    </font>
    <font>
      <i/>
      <sz val="8"/>
      <color theme="1"/>
      <name val="Helvetica"/>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8"/>
      <color theme="10"/>
      <name val="Helvetica"/>
      <family val="2"/>
    </font>
    <font>
      <b/>
      <sz val="15"/>
      <color theme="1"/>
      <name val="Helvetica"/>
      <family val="2"/>
    </font>
    <font>
      <i/>
      <sz val="8"/>
      <color rgb="FF92D050"/>
      <name val="Helvetica"/>
      <family val="2"/>
    </font>
    <font>
      <b/>
      <sz val="8"/>
      <color rgb="FF0070C0"/>
      <name val="Helvetica"/>
      <family val="2"/>
    </font>
    <font>
      <i/>
      <sz val="8"/>
      <color rgb="FF0070C0"/>
      <name val="Helvetica"/>
      <family val="2"/>
    </font>
    <font>
      <b/>
      <u/>
      <sz val="8"/>
      <color rgb="FF0070C0"/>
      <name val="Helvetica"/>
      <family val="2"/>
    </font>
    <font>
      <sz val="7"/>
      <color rgb="FF0070C0"/>
      <name val="Helvetica"/>
      <family val="2"/>
    </font>
    <font>
      <sz val="8"/>
      <color indexed="8"/>
      <name val="Tahoma"/>
      <family val="2"/>
    </font>
    <font>
      <sz val="8"/>
      <name val="Arial"/>
      <family val="2"/>
    </font>
    <font>
      <sz val="8"/>
      <color indexed="59"/>
      <name val="Arial"/>
      <family val="2"/>
    </font>
    <font>
      <b/>
      <sz val="8"/>
      <color theme="0"/>
      <name val="Helvetica"/>
      <family val="2"/>
    </font>
    <font>
      <b/>
      <sz val="8"/>
      <color theme="4"/>
      <name val="Helvetica"/>
      <family val="2"/>
    </font>
    <font>
      <sz val="8"/>
      <color theme="4"/>
      <name val="Helvetica"/>
      <family val="2"/>
    </font>
    <font>
      <b/>
      <sz val="9"/>
      <color theme="4"/>
      <name val="Helvetica"/>
      <family val="2"/>
    </font>
    <font>
      <sz val="7"/>
      <color theme="4"/>
      <name val="Helvetica"/>
      <family val="2"/>
    </font>
    <font>
      <b/>
      <sz val="15"/>
      <color theme="4"/>
      <name val="Helvetica"/>
      <family val="2"/>
    </font>
    <font>
      <i/>
      <sz val="8"/>
      <color theme="6" tint="0.39994506668294322"/>
      <name val="Helvetica"/>
      <family val="2"/>
    </font>
    <font>
      <vertAlign val="superscript"/>
      <sz val="8"/>
      <color theme="4"/>
      <name val="Helvetica"/>
      <family val="2"/>
    </font>
    <font>
      <b/>
      <sz val="8"/>
      <color theme="1"/>
      <name val="Helvetica"/>
    </font>
    <font>
      <b/>
      <sz val="9"/>
      <color indexed="8"/>
      <name val="Tahoma"/>
      <family val="2"/>
    </font>
    <font>
      <b/>
      <sz val="9"/>
      <color indexed="63"/>
      <name val="Tahoma"/>
      <family val="2"/>
    </font>
    <font>
      <b/>
      <sz val="8"/>
      <color indexed="8"/>
      <name val="Tahoma"/>
      <family val="2"/>
    </font>
    <font>
      <b/>
      <sz val="8"/>
      <name val="Arial"/>
      <family val="2"/>
    </font>
    <font>
      <sz val="8"/>
      <color theme="1"/>
      <name val="Arial"/>
      <family val="2"/>
    </font>
    <font>
      <b/>
      <sz val="8"/>
      <color theme="1"/>
      <name val="Arial"/>
      <family val="2"/>
    </font>
    <font>
      <sz val="8"/>
      <color theme="1"/>
      <name val="Tahoma"/>
      <family val="2"/>
    </font>
    <font>
      <b/>
      <sz val="8"/>
      <color theme="1"/>
      <name val="Tahoma"/>
      <family val="2"/>
    </font>
    <font>
      <u/>
      <sz val="11"/>
      <color theme="10"/>
      <name val="Calibri"/>
      <family val="2"/>
      <scheme val="minor"/>
    </font>
  </fonts>
  <fills count="16">
    <fill>
      <patternFill patternType="none"/>
    </fill>
    <fill>
      <patternFill patternType="gray125"/>
    </fill>
    <fill>
      <patternFill patternType="solid">
        <fgColor theme="3" tint="0.79998168889431442"/>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002060"/>
        <bgColor indexed="64"/>
      </patternFill>
    </fill>
    <fill>
      <patternFill patternType="solid">
        <fgColor theme="4"/>
        <bgColor indexed="64"/>
      </patternFill>
    </fill>
    <fill>
      <patternFill patternType="solid">
        <fgColor theme="4" tint="0.79998168889431442"/>
        <bgColor indexed="64"/>
      </patternFill>
    </fill>
    <fill>
      <patternFill patternType="solid">
        <fgColor theme="9" tint="-0.24994659260841701"/>
        <bgColor indexed="64"/>
      </patternFill>
    </fill>
    <fill>
      <patternFill patternType="solid">
        <fgColor theme="6" tint="-0.2499465926084170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top style="thin">
        <color auto="1"/>
      </top>
      <bottom/>
      <diagonal/>
    </border>
    <border>
      <left/>
      <right style="dashed">
        <color auto="1"/>
      </right>
      <top style="thin">
        <color auto="1"/>
      </top>
      <bottom/>
      <diagonal/>
    </border>
    <border>
      <left style="thin">
        <color theme="0"/>
      </left>
      <right style="thin">
        <color theme="0"/>
      </right>
      <top style="thin">
        <color theme="0"/>
      </top>
      <bottom style="thin">
        <color theme="0"/>
      </bottom>
      <diagonal/>
    </border>
    <border>
      <left/>
      <right/>
      <top style="thin">
        <color theme="4"/>
      </top>
      <bottom style="double">
        <color theme="4"/>
      </bottom>
      <diagonal/>
    </border>
    <border>
      <left/>
      <right style="thin">
        <color theme="0"/>
      </right>
      <top style="thin">
        <color theme="0"/>
      </top>
      <bottom style="thin">
        <color theme="0"/>
      </bottom>
      <diagonal/>
    </border>
    <border>
      <left style="thin">
        <color theme="0"/>
      </left>
      <right style="dashed">
        <color theme="1"/>
      </right>
      <top/>
      <bottom/>
      <diagonal/>
    </border>
    <border>
      <left style="thin">
        <color theme="0"/>
      </left>
      <right style="dashed">
        <color auto="1"/>
      </right>
      <top/>
      <bottom style="thin">
        <color auto="1"/>
      </bottom>
      <diagonal/>
    </border>
    <border>
      <left style="thin">
        <color theme="0"/>
      </left>
      <right style="dashed">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left>
      <right style="dashed">
        <color theme="1"/>
      </right>
      <top style="thin">
        <color theme="0"/>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dashed">
        <color auto="1"/>
      </left>
      <right style="dashed">
        <color auto="1"/>
      </right>
      <top style="dashed">
        <color auto="1"/>
      </top>
      <bottom style="dashed">
        <color auto="1"/>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dashed">
        <color auto="1"/>
      </right>
      <top/>
      <bottom/>
      <diagonal/>
    </border>
    <border>
      <left style="thin">
        <color theme="4"/>
      </left>
      <right/>
      <top style="thin">
        <color theme="4"/>
      </top>
      <bottom/>
      <diagonal/>
    </border>
    <border>
      <left style="thin">
        <color theme="4"/>
      </left>
      <right/>
      <top/>
      <bottom/>
      <diagonal/>
    </border>
    <border>
      <left/>
      <right/>
      <top style="dashed">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theme="0"/>
      </left>
      <right style="thin">
        <color indexed="64"/>
      </right>
      <top style="thin">
        <color theme="0"/>
      </top>
      <bottom style="thin">
        <color theme="0"/>
      </bottom>
      <diagonal/>
    </border>
  </borders>
  <cellStyleXfs count="65">
    <xf numFmtId="0" fontId="0" fillId="0" borderId="0"/>
    <xf numFmtId="168" fontId="3" fillId="0" borderId="0" applyFill="0" applyBorder="0" applyProtection="0">
      <alignment vertical="center"/>
    </xf>
    <xf numFmtId="0" fontId="11" fillId="0" borderId="0" applyNumberFormat="0" applyFill="0" applyBorder="0" applyAlignment="0" applyProtection="0"/>
    <xf numFmtId="0" fontId="12" fillId="12" borderId="0" applyBorder="0">
      <alignment horizontal="left" vertical="center"/>
    </xf>
    <xf numFmtId="0" fontId="2" fillId="3" borderId="0" applyProtection="0">
      <alignment vertical="center"/>
    </xf>
    <xf numFmtId="0" fontId="4" fillId="0" borderId="0" applyFill="0" applyProtection="0">
      <alignment vertical="center"/>
    </xf>
    <xf numFmtId="0" fontId="3" fillId="0" borderId="0" applyFill="0" applyBorder="0" applyProtection="0">
      <alignment vertical="center"/>
    </xf>
    <xf numFmtId="0" fontId="5" fillId="0" borderId="6" applyNumberFormat="0" applyFill="0" applyAlignment="0" applyProtection="0"/>
    <xf numFmtId="0" fontId="36" fillId="13" borderId="5">
      <alignment horizontal="left" vertical="center"/>
      <protection locked="0"/>
    </xf>
    <xf numFmtId="164" fontId="3" fillId="0" borderId="0" applyFill="0" applyBorder="0">
      <alignment horizontal="center" vertical="center"/>
    </xf>
    <xf numFmtId="164" fontId="36" fillId="2" borderId="5">
      <alignment horizontal="center" vertical="center"/>
      <protection locked="0"/>
    </xf>
    <xf numFmtId="15" fontId="3" fillId="0" borderId="0" applyFill="0" applyBorder="0" applyProtection="0">
      <alignment vertical="center"/>
    </xf>
    <xf numFmtId="170" fontId="3" fillId="0" borderId="0" applyFill="0" applyBorder="0">
      <alignment horizontal="center" vertical="center"/>
    </xf>
    <xf numFmtId="170" fontId="36" fillId="13" borderId="5">
      <alignment horizontal="center" vertical="center"/>
      <protection locked="0"/>
    </xf>
    <xf numFmtId="165" fontId="3" fillId="0" borderId="0" applyFill="0" applyBorder="0">
      <alignment horizontal="right" vertical="center"/>
    </xf>
    <xf numFmtId="165" fontId="36" fillId="13" borderId="5">
      <alignment horizontal="right" vertical="center"/>
      <protection locked="0"/>
    </xf>
    <xf numFmtId="167" fontId="3" fillId="0" borderId="0" applyFill="0" applyBorder="0">
      <alignment horizontal="right" vertical="center"/>
    </xf>
    <xf numFmtId="167" fontId="36" fillId="13" borderId="5">
      <alignment horizontal="right" vertical="center"/>
      <protection locked="0"/>
    </xf>
    <xf numFmtId="166" fontId="3" fillId="0" borderId="0" applyFill="0" applyBorder="0">
      <alignment horizontal="right" vertical="center"/>
    </xf>
    <xf numFmtId="166" fontId="36" fillId="13" borderId="5">
      <alignment horizontal="right" vertical="center"/>
      <protection locked="0"/>
    </xf>
    <xf numFmtId="168" fontId="36" fillId="13" borderId="5">
      <alignment horizontal="right" vertical="center"/>
      <protection locked="0"/>
    </xf>
    <xf numFmtId="0" fontId="39" fillId="0" borderId="0" applyFill="0" applyBorder="0">
      <alignment horizontal="left" vertical="center"/>
    </xf>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11" applyNumberFormat="0" applyAlignment="0" applyProtection="0"/>
    <xf numFmtId="0" fontId="18" fillId="8" borderId="12" applyNumberFormat="0" applyAlignment="0" applyProtection="0"/>
    <xf numFmtId="0" fontId="19" fillId="8" borderId="11" applyNumberFormat="0" applyAlignment="0" applyProtection="0"/>
    <xf numFmtId="0" fontId="20" fillId="0" borderId="13" applyNumberFormat="0" applyFill="0" applyAlignment="0" applyProtection="0"/>
    <xf numFmtId="0" fontId="21" fillId="9" borderId="14" applyNumberFormat="0" applyAlignment="0" applyProtection="0"/>
    <xf numFmtId="0" fontId="22" fillId="0" borderId="0" applyNumberFormat="0" applyFill="0" applyBorder="0" applyAlignment="0" applyProtection="0"/>
    <xf numFmtId="0" fontId="3" fillId="10" borderId="15" applyNumberFormat="0" applyFont="0" applyAlignment="0" applyProtection="0"/>
    <xf numFmtId="0" fontId="23" fillId="0" borderId="0" applyNumberFormat="0" applyFill="0" applyBorder="0" applyAlignment="0" applyProtection="0"/>
    <xf numFmtId="0" fontId="24" fillId="0" borderId="0" applyNumberFormat="0" applyFill="0" applyBorder="0">
      <alignment horizontal="left" vertical="center"/>
    </xf>
    <xf numFmtId="0" fontId="25" fillId="0" borderId="0" applyFill="0" applyBorder="0">
      <alignment vertical="center"/>
    </xf>
    <xf numFmtId="0" fontId="35" fillId="0" borderId="0" applyFill="0" applyBorder="0">
      <alignment horizontal="left" vertical="center"/>
    </xf>
    <xf numFmtId="0" fontId="4" fillId="0" borderId="0" applyFill="0" applyBorder="0">
      <alignment horizontal="left" vertical="center"/>
    </xf>
    <xf numFmtId="0" fontId="36" fillId="0" borderId="0" applyFill="0" applyBorder="0">
      <alignment horizontal="left" vertical="center"/>
    </xf>
    <xf numFmtId="0" fontId="3" fillId="0" borderId="0" applyFill="0" applyBorder="0">
      <alignment vertical="center"/>
    </xf>
    <xf numFmtId="0" fontId="37" fillId="3" borderId="0" applyBorder="0">
      <alignment horizontal="left" vertical="center"/>
    </xf>
    <xf numFmtId="0" fontId="2" fillId="3" borderId="0" applyBorder="0">
      <alignment horizontal="left" vertical="center"/>
    </xf>
    <xf numFmtId="172" fontId="3" fillId="0" borderId="0" applyFill="0" applyBorder="0">
      <alignment horizontal="right" vertical="center"/>
    </xf>
    <xf numFmtId="0" fontId="38" fillId="0" borderId="0">
      <alignment horizontal="right" vertical="center"/>
    </xf>
    <xf numFmtId="170" fontId="32" fillId="0" borderId="0" applyFill="0" applyBorder="0">
      <alignment horizontal="right" vertical="center"/>
    </xf>
    <xf numFmtId="165" fontId="32" fillId="0" borderId="0" applyFill="0" applyBorder="0">
      <alignment horizontal="right" vertical="center"/>
    </xf>
    <xf numFmtId="0" fontId="34" fillId="14" borderId="0">
      <alignment horizontal="left" indent="3"/>
    </xf>
    <xf numFmtId="0" fontId="34" fillId="15" borderId="0">
      <alignment horizontal="left" indent="3"/>
    </xf>
    <xf numFmtId="181" fontId="7" fillId="0" borderId="0">
      <alignment horizontal="center" vertical="center"/>
    </xf>
    <xf numFmtId="182" fontId="36" fillId="13" borderId="5">
      <alignment horizontal="center" vertical="center"/>
      <protection locked="0"/>
    </xf>
    <xf numFmtId="182" fontId="7" fillId="0" borderId="0"/>
    <xf numFmtId="165" fontId="36" fillId="0" borderId="0" applyFill="0" applyBorder="0">
      <alignment horizontal="right" vertical="center"/>
    </xf>
    <xf numFmtId="170" fontId="36" fillId="0" borderId="0" applyFill="0" applyBorder="0">
      <alignment horizontal="center" vertical="center"/>
    </xf>
    <xf numFmtId="172" fontId="36" fillId="0" borderId="0" applyFill="0" applyBorder="0">
      <alignment horizontal="right" vertical="center"/>
    </xf>
    <xf numFmtId="166" fontId="36" fillId="0" borderId="0" applyFill="0" applyBorder="0">
      <alignment horizontal="right" vertical="center"/>
    </xf>
    <xf numFmtId="167" fontId="36" fillId="0" borderId="0" applyFill="0" applyBorder="0">
      <alignment horizontal="right" vertical="center"/>
    </xf>
    <xf numFmtId="164" fontId="36" fillId="0" borderId="0" applyFill="0" applyBorder="0">
      <alignment horizontal="center" vertical="center"/>
    </xf>
    <xf numFmtId="0" fontId="31" fillId="0" borderId="0" applyFill="0" applyBorder="0">
      <alignment vertical="center"/>
    </xf>
    <xf numFmtId="0" fontId="43" fillId="0" borderId="0" applyFill="0" applyBorder="0">
      <alignment vertical="center"/>
    </xf>
    <xf numFmtId="165" fontId="31" fillId="0" borderId="0" applyFill="0" applyBorder="0">
      <alignment horizontal="right" vertical="center"/>
    </xf>
    <xf numFmtId="0" fontId="45" fillId="0" borderId="0" applyFill="0" applyBorder="0">
      <alignment vertical="center"/>
    </xf>
    <xf numFmtId="0" fontId="31" fillId="0" borderId="0" applyFill="0" applyBorder="0">
      <alignment vertical="center"/>
    </xf>
    <xf numFmtId="0" fontId="46" fillId="0" borderId="0" applyFill="0" applyBorder="0">
      <alignment vertical="center"/>
    </xf>
    <xf numFmtId="0" fontId="32" fillId="0" borderId="0" applyFill="0" applyBorder="0">
      <alignment vertical="center"/>
    </xf>
    <xf numFmtId="0" fontId="1" fillId="0" borderId="0"/>
    <xf numFmtId="0" fontId="51" fillId="0" borderId="0" applyNumberFormat="0" applyFill="0" applyBorder="0" applyAlignment="0" applyProtection="0"/>
  </cellStyleXfs>
  <cellXfs count="166">
    <xf numFmtId="0" fontId="0" fillId="0" borderId="0" xfId="0"/>
    <xf numFmtId="0" fontId="6" fillId="0" borderId="0" xfId="0" applyFont="1" applyAlignment="1">
      <alignment horizontal="center"/>
    </xf>
    <xf numFmtId="0" fontId="0" fillId="0" borderId="2" xfId="0" applyBorder="1"/>
    <xf numFmtId="0" fontId="7" fillId="0" borderId="0" xfId="0" applyFont="1"/>
    <xf numFmtId="0" fontId="8" fillId="0" borderId="0" xfId="0" applyFont="1"/>
    <xf numFmtId="0" fontId="9" fillId="0" borderId="0" xfId="0" applyFont="1"/>
    <xf numFmtId="0" fontId="0" fillId="0" borderId="0" xfId="0" applyAlignment="1">
      <alignment horizontal="left"/>
    </xf>
    <xf numFmtId="0" fontId="12" fillId="12" borderId="0" xfId="3">
      <alignment horizontal="left" vertical="center"/>
    </xf>
    <xf numFmtId="0" fontId="10" fillId="0" borderId="0" xfId="0" applyFont="1"/>
    <xf numFmtId="0" fontId="36" fillId="13" borderId="5" xfId="8">
      <alignment horizontal="left" vertical="center"/>
      <protection locked="0"/>
    </xf>
    <xf numFmtId="170" fontId="36" fillId="13" borderId="5" xfId="13">
      <alignment horizontal="center" vertical="center"/>
      <protection locked="0"/>
    </xf>
    <xf numFmtId="165" fontId="3" fillId="0" borderId="0" xfId="14">
      <alignment horizontal="right" vertical="center"/>
    </xf>
    <xf numFmtId="165" fontId="36" fillId="13" borderId="5" xfId="15">
      <alignment horizontal="right" vertical="center"/>
      <protection locked="0"/>
    </xf>
    <xf numFmtId="167" fontId="36" fillId="13" borderId="5" xfId="17">
      <alignment horizontal="right" vertical="center"/>
      <protection locked="0"/>
    </xf>
    <xf numFmtId="166" fontId="3" fillId="0" borderId="0" xfId="18">
      <alignment horizontal="right" vertical="center"/>
    </xf>
    <xf numFmtId="167" fontId="3" fillId="0" borderId="0" xfId="16">
      <alignment horizontal="right" vertical="center"/>
    </xf>
    <xf numFmtId="165" fontId="36" fillId="13" borderId="7" xfId="15" applyBorder="1">
      <alignment horizontal="right" vertical="center"/>
      <protection locked="0"/>
    </xf>
    <xf numFmtId="165" fontId="3" fillId="0" borderId="4" xfId="14" applyBorder="1">
      <alignment horizontal="right" vertical="center"/>
    </xf>
    <xf numFmtId="165" fontId="3" fillId="0" borderId="3" xfId="14" applyBorder="1">
      <alignment horizontal="right" vertical="center"/>
    </xf>
    <xf numFmtId="165" fontId="3" fillId="0" borderId="10" xfId="14" applyBorder="1">
      <alignment horizontal="right" vertical="center"/>
    </xf>
    <xf numFmtId="165" fontId="3" fillId="0" borderId="9" xfId="14" applyBorder="1">
      <alignment horizontal="right" vertical="center"/>
    </xf>
    <xf numFmtId="165" fontId="4" fillId="0" borderId="4" xfId="14" applyFont="1" applyBorder="1">
      <alignment horizontal="right" vertical="center"/>
    </xf>
    <xf numFmtId="165" fontId="4" fillId="0" borderId="3" xfId="14" applyFont="1" applyBorder="1">
      <alignment horizontal="right" vertical="center"/>
    </xf>
    <xf numFmtId="169" fontId="36" fillId="13" borderId="5" xfId="15" applyNumberFormat="1">
      <alignment horizontal="right" vertical="center"/>
      <protection locked="0"/>
    </xf>
    <xf numFmtId="0" fontId="39" fillId="0" borderId="0" xfId="21">
      <alignment horizontal="left" vertical="center"/>
    </xf>
    <xf numFmtId="0" fontId="35" fillId="0" borderId="0" xfId="35">
      <alignment horizontal="left" vertical="center"/>
    </xf>
    <xf numFmtId="0" fontId="4" fillId="0" borderId="0" xfId="36">
      <alignment horizontal="left" vertical="center"/>
    </xf>
    <xf numFmtId="0" fontId="36" fillId="0" borderId="0" xfId="37">
      <alignment horizontal="left" vertical="center"/>
    </xf>
    <xf numFmtId="0" fontId="3" fillId="0" borderId="0" xfId="38">
      <alignment vertical="center"/>
    </xf>
    <xf numFmtId="0" fontId="37" fillId="3" borderId="0" xfId="39">
      <alignment horizontal="left" vertical="center"/>
    </xf>
    <xf numFmtId="0" fontId="2" fillId="3" borderId="0" xfId="40">
      <alignment horizontal="left" vertical="center"/>
    </xf>
    <xf numFmtId="0" fontId="4" fillId="0" borderId="2" xfId="36" applyBorder="1">
      <alignment horizontal="left" vertical="center"/>
    </xf>
    <xf numFmtId="0" fontId="36" fillId="0" borderId="2" xfId="37" applyBorder="1">
      <alignment horizontal="left" vertical="center"/>
    </xf>
    <xf numFmtId="164" fontId="3" fillId="0" borderId="0" xfId="9" applyAlignment="1">
      <alignment horizontal="right" vertical="center"/>
    </xf>
    <xf numFmtId="170" fontId="3" fillId="0" borderId="0" xfId="12" applyAlignment="1">
      <alignment horizontal="right" vertical="center"/>
    </xf>
    <xf numFmtId="169" fontId="3" fillId="0" borderId="0" xfId="14" applyNumberFormat="1">
      <alignment horizontal="right" vertical="center"/>
    </xf>
    <xf numFmtId="171" fontId="3" fillId="0" borderId="0" xfId="14" applyNumberFormat="1">
      <alignment horizontal="right" vertical="center"/>
    </xf>
    <xf numFmtId="0" fontId="35" fillId="0" borderId="0" xfId="35" applyAlignment="1">
      <alignment horizontal="center" vertical="center"/>
    </xf>
    <xf numFmtId="0" fontId="36" fillId="0" borderId="1" xfId="37" applyBorder="1" applyAlignment="1">
      <alignment horizontal="center" vertical="center"/>
    </xf>
    <xf numFmtId="0" fontId="35" fillId="0" borderId="2" xfId="35" applyBorder="1">
      <alignment horizontal="left" vertical="center"/>
    </xf>
    <xf numFmtId="17" fontId="4" fillId="0" borderId="2" xfId="0" applyNumberFormat="1" applyFont="1" applyBorder="1" applyAlignment="1">
      <alignment horizontal="right"/>
    </xf>
    <xf numFmtId="0" fontId="3" fillId="0" borderId="2" xfId="38" applyBorder="1">
      <alignment vertical="center"/>
    </xf>
    <xf numFmtId="173" fontId="4" fillId="0" borderId="2" xfId="12" applyNumberFormat="1" applyFont="1" applyBorder="1" applyAlignment="1">
      <alignment horizontal="right" vertical="center"/>
    </xf>
    <xf numFmtId="0" fontId="26" fillId="0" borderId="0" xfId="38" applyFont="1">
      <alignment vertical="center"/>
    </xf>
    <xf numFmtId="174" fontId="3" fillId="0" borderId="0" xfId="0" applyNumberFormat="1" applyFont="1"/>
    <xf numFmtId="170" fontId="36" fillId="13" borderId="5" xfId="13" applyAlignment="1">
      <alignment vertical="center"/>
      <protection locked="0"/>
    </xf>
    <xf numFmtId="169" fontId="36" fillId="13" borderId="5" xfId="15" applyNumberFormat="1" applyAlignment="1">
      <alignment horizontal="center" vertical="center"/>
      <protection locked="0"/>
    </xf>
    <xf numFmtId="165" fontId="36" fillId="13" borderId="16" xfId="15" applyBorder="1">
      <alignment horizontal="right" vertical="center"/>
      <protection locked="0"/>
    </xf>
    <xf numFmtId="167" fontId="36" fillId="13" borderId="7" xfId="17" applyBorder="1">
      <alignment horizontal="right" vertical="center"/>
      <protection locked="0"/>
    </xf>
    <xf numFmtId="0" fontId="36" fillId="0" borderId="0" xfId="37" applyAlignment="1">
      <alignment horizontal="right" vertical="center"/>
    </xf>
    <xf numFmtId="165" fontId="36" fillId="13" borderId="17" xfId="15" applyBorder="1">
      <alignment horizontal="right" vertical="center"/>
      <protection locked="0"/>
    </xf>
    <xf numFmtId="0" fontId="28" fillId="0" borderId="0" xfId="37" applyFont="1">
      <alignment horizontal="left" vertical="center"/>
    </xf>
    <xf numFmtId="165" fontId="3" fillId="0" borderId="2" xfId="14" applyBorder="1">
      <alignment horizontal="right" vertical="center"/>
    </xf>
    <xf numFmtId="0" fontId="29" fillId="0" borderId="0" xfId="35" applyFont="1">
      <alignment horizontal="left" vertical="center"/>
    </xf>
    <xf numFmtId="0" fontId="13" fillId="0" borderId="0" xfId="38" applyFont="1" applyAlignment="1">
      <alignment horizontal="left" vertical="center"/>
    </xf>
    <xf numFmtId="0" fontId="9" fillId="0" borderId="0" xfId="0" applyFont="1" applyAlignment="1">
      <alignment horizontal="left"/>
    </xf>
    <xf numFmtId="165" fontId="3" fillId="0" borderId="0" xfId="14" applyAlignment="1">
      <alignment horizontal="center" vertical="center"/>
    </xf>
    <xf numFmtId="165" fontId="36" fillId="13" borderId="18" xfId="15" applyBorder="1">
      <alignment horizontal="right" vertical="center"/>
      <protection locked="0"/>
    </xf>
    <xf numFmtId="165" fontId="4" fillId="0" borderId="19" xfId="14" applyFont="1" applyBorder="1">
      <alignment horizontal="right" vertical="center"/>
    </xf>
    <xf numFmtId="165" fontId="4" fillId="0" borderId="0" xfId="14" applyFont="1">
      <alignment horizontal="right" vertical="center"/>
    </xf>
    <xf numFmtId="0" fontId="27" fillId="0" borderId="0" xfId="35" applyFont="1">
      <alignment horizontal="left" vertical="center"/>
    </xf>
    <xf numFmtId="165" fontId="4" fillId="0" borderId="20" xfId="14" applyFont="1" applyBorder="1">
      <alignment horizontal="right" vertical="center"/>
    </xf>
    <xf numFmtId="0" fontId="26" fillId="0" borderId="0" xfId="38" applyFont="1" applyAlignment="1">
      <alignment horizontal="center" vertical="center"/>
    </xf>
    <xf numFmtId="165" fontId="26" fillId="0" borderId="0" xfId="38" applyNumberFormat="1" applyFont="1" applyAlignment="1">
      <alignment horizontal="center" vertical="center"/>
    </xf>
    <xf numFmtId="165" fontId="26" fillId="0" borderId="3" xfId="38" applyNumberFormat="1" applyFont="1" applyBorder="1" applyAlignment="1">
      <alignment horizontal="center" vertical="center"/>
    </xf>
    <xf numFmtId="165" fontId="26" fillId="0" borderId="21" xfId="38" applyNumberFormat="1" applyFont="1" applyBorder="1" applyAlignment="1">
      <alignment horizontal="center" vertical="center"/>
    </xf>
    <xf numFmtId="165" fontId="26" fillId="0" borderId="22" xfId="38" applyNumberFormat="1" applyFont="1" applyBorder="1" applyAlignment="1">
      <alignment horizontal="center" vertical="center"/>
    </xf>
    <xf numFmtId="175" fontId="0" fillId="0" borderId="0" xfId="0" applyNumberFormat="1"/>
    <xf numFmtId="0" fontId="27" fillId="0" borderId="0" xfId="37" applyFont="1">
      <alignment horizontal="left" vertical="center"/>
    </xf>
    <xf numFmtId="0" fontId="10" fillId="0" borderId="0" xfId="37" applyFont="1">
      <alignment horizontal="left" vertical="center"/>
    </xf>
    <xf numFmtId="167" fontId="3" fillId="0" borderId="23" xfId="16" applyBorder="1">
      <alignment horizontal="right" vertical="center"/>
    </xf>
    <xf numFmtId="167" fontId="36" fillId="13" borderId="23" xfId="17" applyBorder="1">
      <alignment horizontal="right" vertical="center"/>
      <protection locked="0"/>
    </xf>
    <xf numFmtId="165" fontId="3" fillId="0" borderId="20" xfId="14" applyBorder="1">
      <alignment horizontal="right" vertical="center"/>
    </xf>
    <xf numFmtId="165" fontId="0" fillId="0" borderId="0" xfId="0" applyNumberFormat="1"/>
    <xf numFmtId="165" fontId="26" fillId="0" borderId="1" xfId="38" applyNumberFormat="1" applyFont="1" applyBorder="1" applyAlignment="1">
      <alignment horizontal="center" vertical="center"/>
    </xf>
    <xf numFmtId="0" fontId="27" fillId="0" borderId="20" xfId="37" applyFont="1" applyBorder="1">
      <alignment horizontal="left" vertical="center"/>
    </xf>
    <xf numFmtId="0" fontId="0" fillId="0" borderId="20" xfId="0" applyBorder="1"/>
    <xf numFmtId="0" fontId="3" fillId="0" borderId="1" xfId="38" applyBorder="1" applyAlignment="1">
      <alignment horizontal="center" vertical="center"/>
    </xf>
    <xf numFmtId="0" fontId="0" fillId="0" borderId="0" xfId="0" applyAlignment="1">
      <alignment horizontal="center"/>
    </xf>
    <xf numFmtId="0" fontId="36" fillId="0" borderId="0" xfId="37" applyAlignment="1">
      <alignment horizontal="center" vertical="center"/>
    </xf>
    <xf numFmtId="0" fontId="30" fillId="0" borderId="0" xfId="37" applyFont="1" applyAlignment="1">
      <alignment horizontal="right" vertical="center"/>
    </xf>
    <xf numFmtId="0" fontId="38" fillId="0" borderId="0" xfId="42">
      <alignment horizontal="right" vertical="center"/>
    </xf>
    <xf numFmtId="4" fontId="0" fillId="0" borderId="0" xfId="0" applyNumberFormat="1"/>
    <xf numFmtId="176" fontId="3" fillId="0" borderId="3" xfId="14" applyNumberFormat="1" applyBorder="1">
      <alignment horizontal="right" vertical="center"/>
    </xf>
    <xf numFmtId="170" fontId="32" fillId="0" borderId="24" xfId="43" applyBorder="1">
      <alignment horizontal="right" vertical="center"/>
    </xf>
    <xf numFmtId="170" fontId="33" fillId="0" borderId="0" xfId="43" applyFont="1">
      <alignment horizontal="right" vertical="center"/>
    </xf>
    <xf numFmtId="170" fontId="32" fillId="0" borderId="0" xfId="43">
      <alignment horizontal="right" vertical="center"/>
    </xf>
    <xf numFmtId="9" fontId="36" fillId="13" borderId="5" xfId="15" applyNumberFormat="1">
      <alignment horizontal="right" vertical="center"/>
      <protection locked="0"/>
    </xf>
    <xf numFmtId="176" fontId="3" fillId="0" borderId="0" xfId="14" applyNumberFormat="1">
      <alignment horizontal="right" vertical="center"/>
    </xf>
    <xf numFmtId="3" fontId="3" fillId="0" borderId="0" xfId="14" applyNumberFormat="1">
      <alignment horizontal="right" vertical="center"/>
    </xf>
    <xf numFmtId="177" fontId="0" fillId="0" borderId="0" xfId="0" applyNumberFormat="1"/>
    <xf numFmtId="178" fontId="36" fillId="13" borderId="5" xfId="15" applyNumberFormat="1">
      <alignment horizontal="right" vertical="center"/>
      <protection locked="0"/>
    </xf>
    <xf numFmtId="179" fontId="3" fillId="0" borderId="25" xfId="14" applyNumberFormat="1" applyBorder="1">
      <alignment horizontal="right" vertical="center"/>
    </xf>
    <xf numFmtId="179" fontId="3" fillId="0" borderId="0" xfId="14" applyNumberFormat="1">
      <alignment horizontal="right" vertical="center"/>
    </xf>
    <xf numFmtId="165" fontId="4" fillId="0" borderId="1" xfId="14" applyFont="1" applyBorder="1">
      <alignment horizontal="right" vertical="center"/>
    </xf>
    <xf numFmtId="165" fontId="3" fillId="0" borderId="24" xfId="14" applyBorder="1">
      <alignment horizontal="right" vertical="center"/>
    </xf>
    <xf numFmtId="165" fontId="3" fillId="0" borderId="26" xfId="14" applyBorder="1">
      <alignment horizontal="right" vertical="center"/>
    </xf>
    <xf numFmtId="15" fontId="13" fillId="0" borderId="0" xfId="14" applyNumberFormat="1" applyFont="1">
      <alignment horizontal="right" vertical="center"/>
    </xf>
    <xf numFmtId="176" fontId="36" fillId="13" borderId="5" xfId="15" applyNumberFormat="1">
      <alignment horizontal="right" vertical="center"/>
      <protection locked="0"/>
    </xf>
    <xf numFmtId="0" fontId="34" fillId="11" borderId="0" xfId="0" applyFont="1" applyFill="1" applyAlignment="1">
      <alignment horizontal="centerContinuous" vertical="center"/>
    </xf>
    <xf numFmtId="0" fontId="4" fillId="0" borderId="0" xfId="38" applyFont="1">
      <alignment vertical="center"/>
    </xf>
    <xf numFmtId="0" fontId="3" fillId="0" borderId="0" xfId="38" applyAlignment="1">
      <alignment horizontal="left" vertical="center" indent="1"/>
    </xf>
    <xf numFmtId="169" fontId="3" fillId="0" borderId="0" xfId="14" applyNumberFormat="1" applyAlignment="1">
      <alignment horizontal="center" vertical="center"/>
    </xf>
    <xf numFmtId="169" fontId="3" fillId="0" borderId="2" xfId="14" applyNumberFormat="1" applyBorder="1">
      <alignment horizontal="right" vertical="center"/>
    </xf>
    <xf numFmtId="169" fontId="3" fillId="0" borderId="27" xfId="14" applyNumberFormat="1" applyBorder="1" applyAlignment="1">
      <alignment horizontal="center" vertical="center"/>
    </xf>
    <xf numFmtId="173" fontId="4" fillId="0" borderId="0" xfId="12" applyNumberFormat="1" applyFont="1" applyAlignment="1">
      <alignment horizontal="right" vertical="center"/>
    </xf>
    <xf numFmtId="169" fontId="3" fillId="0" borderId="0" xfId="38" applyNumberFormat="1">
      <alignment vertical="center"/>
    </xf>
    <xf numFmtId="180" fontId="3" fillId="0" borderId="0" xfId="14" applyNumberFormat="1" applyAlignment="1">
      <alignment horizontal="center" vertical="center"/>
    </xf>
    <xf numFmtId="0" fontId="0" fillId="0" borderId="28" xfId="0" applyBorder="1"/>
    <xf numFmtId="0" fontId="0" fillId="0" borderId="29" xfId="0" applyBorder="1"/>
    <xf numFmtId="0" fontId="34" fillId="12" borderId="0" xfId="0" applyFont="1" applyFill="1" applyAlignment="1">
      <alignment horizontal="centerContinuous" vertical="center"/>
    </xf>
    <xf numFmtId="0" fontId="40" fillId="0" borderId="0" xfId="38" applyFont="1">
      <alignment vertical="center"/>
    </xf>
    <xf numFmtId="0" fontId="36" fillId="0" borderId="0" xfId="37" applyAlignment="1">
      <alignment horizontal="left" vertical="center" indent="1"/>
    </xf>
    <xf numFmtId="0" fontId="36" fillId="0" borderId="0" xfId="37" applyAlignment="1">
      <alignment horizontal="left" vertical="center" indent="2"/>
    </xf>
    <xf numFmtId="0" fontId="41" fillId="0" borderId="0" xfId="37" applyFont="1">
      <alignment horizontal="left" vertical="center"/>
    </xf>
    <xf numFmtId="4" fontId="3" fillId="0" borderId="0" xfId="14" applyNumberFormat="1">
      <alignment horizontal="right" vertical="center"/>
    </xf>
    <xf numFmtId="0" fontId="10" fillId="0" borderId="0" xfId="37" applyFont="1" applyAlignment="1">
      <alignment horizontal="center" vertical="center"/>
    </xf>
    <xf numFmtId="0" fontId="36" fillId="13" borderId="5" xfId="8" applyAlignment="1">
      <alignment horizontal="center" vertical="center"/>
      <protection locked="0"/>
    </xf>
    <xf numFmtId="0" fontId="3" fillId="0" borderId="0" xfId="38" applyAlignment="1">
      <alignment horizontal="center" vertical="center"/>
    </xf>
    <xf numFmtId="0" fontId="0" fillId="0" borderId="0" xfId="0" applyAlignment="1">
      <alignment horizontal="left" indent="1"/>
    </xf>
    <xf numFmtId="0" fontId="35" fillId="0" borderId="0" xfId="35" applyAlignment="1">
      <alignment horizontal="left" vertical="center" indent="1"/>
    </xf>
    <xf numFmtId="0" fontId="35" fillId="13" borderId="5" xfId="8" applyFont="1">
      <alignment horizontal="left" vertical="center"/>
      <protection locked="0"/>
    </xf>
    <xf numFmtId="0" fontId="35" fillId="0" borderId="0" xfId="35" applyAlignment="1">
      <alignment horizontal="left" vertical="center" indent="2"/>
    </xf>
    <xf numFmtId="166" fontId="36" fillId="13" borderId="5" xfId="15" applyNumberFormat="1" applyAlignment="1">
      <alignment horizontal="center" vertical="center"/>
      <protection locked="0"/>
    </xf>
    <xf numFmtId="9" fontId="3" fillId="0" borderId="0" xfId="14" applyNumberFormat="1">
      <alignment horizontal="right" vertical="center"/>
    </xf>
    <xf numFmtId="0" fontId="13" fillId="0" borderId="0" xfId="38" applyFont="1">
      <alignment vertical="center"/>
    </xf>
    <xf numFmtId="181" fontId="7" fillId="0" borderId="0" xfId="47" applyAlignment="1">
      <alignment horizontal="center"/>
    </xf>
    <xf numFmtId="181" fontId="7" fillId="0" borderId="3" xfId="47" applyBorder="1" applyAlignment="1">
      <alignment horizontal="center"/>
    </xf>
    <xf numFmtId="181" fontId="7" fillId="0" borderId="30" xfId="47" applyBorder="1" applyAlignment="1">
      <alignment horizontal="center"/>
    </xf>
    <xf numFmtId="0" fontId="3" fillId="0" borderId="3" xfId="38" applyBorder="1">
      <alignment vertical="center"/>
    </xf>
    <xf numFmtId="0" fontId="0" fillId="0" borderId="31" xfId="0" applyBorder="1"/>
    <xf numFmtId="0" fontId="0" fillId="0" borderId="3" xfId="0" applyBorder="1"/>
    <xf numFmtId="0" fontId="0" fillId="0" borderId="32" xfId="0" applyBorder="1"/>
    <xf numFmtId="0" fontId="0" fillId="0" borderId="25" xfId="0" applyBorder="1"/>
    <xf numFmtId="0" fontId="0" fillId="0" borderId="24" xfId="0" applyBorder="1"/>
    <xf numFmtId="0" fontId="4" fillId="0" borderId="0" xfId="36" applyAlignment="1">
      <alignment horizontal="center" vertical="center"/>
    </xf>
    <xf numFmtId="0" fontId="34" fillId="12" borderId="0" xfId="3" applyFont="1" applyAlignment="1">
      <alignment horizontal="center" vertical="center"/>
    </xf>
    <xf numFmtId="0" fontId="35" fillId="3" borderId="0" xfId="39" applyFont="1" applyAlignment="1">
      <alignment horizontal="center" vertical="center"/>
    </xf>
    <xf numFmtId="0" fontId="0" fillId="0" borderId="33" xfId="0" applyBorder="1"/>
    <xf numFmtId="0" fontId="0" fillId="0" borderId="26" xfId="0" applyBorder="1"/>
    <xf numFmtId="176" fontId="36" fillId="13" borderId="34" xfId="15" applyNumberFormat="1" applyBorder="1">
      <alignment horizontal="right" vertical="center"/>
      <protection locked="0"/>
    </xf>
    <xf numFmtId="0" fontId="3" fillId="0" borderId="0" xfId="38" applyAlignment="1">
      <alignment horizontal="left" vertical="center"/>
    </xf>
    <xf numFmtId="0" fontId="35" fillId="0" borderId="0" xfId="35" applyAlignment="1">
      <alignment vertical="center"/>
    </xf>
    <xf numFmtId="0" fontId="36" fillId="13" borderId="7" xfId="8" applyBorder="1">
      <alignment horizontal="left" vertical="center"/>
      <protection locked="0"/>
    </xf>
    <xf numFmtId="165" fontId="42" fillId="0" borderId="3" xfId="14" applyFont="1" applyBorder="1">
      <alignment horizontal="right" vertical="center"/>
    </xf>
    <xf numFmtId="165" fontId="42" fillId="0" borderId="20" xfId="14" applyFont="1" applyBorder="1">
      <alignment horizontal="right" vertical="center"/>
    </xf>
    <xf numFmtId="0" fontId="31" fillId="0" borderId="0" xfId="56">
      <alignment vertical="center"/>
    </xf>
    <xf numFmtId="0" fontId="44" fillId="0" borderId="0" xfId="57" applyFont="1" applyAlignment="1">
      <alignment horizontal="center" vertical="center"/>
    </xf>
    <xf numFmtId="0" fontId="47" fillId="0" borderId="0" xfId="62" applyFont="1">
      <alignment vertical="center"/>
    </xf>
    <xf numFmtId="0" fontId="48" fillId="0" borderId="0" xfId="61" applyFont="1" applyAlignment="1">
      <alignment horizontal="right" vertical="center"/>
    </xf>
    <xf numFmtId="0" fontId="49" fillId="0" borderId="0" xfId="56" applyFont="1">
      <alignment vertical="center"/>
    </xf>
    <xf numFmtId="0" fontId="48" fillId="0" borderId="0" xfId="61" applyFont="1" applyAlignment="1">
      <alignment horizontal="center" wrapText="1"/>
    </xf>
    <xf numFmtId="0" fontId="3" fillId="0" borderId="0" xfId="0" applyFont="1"/>
    <xf numFmtId="0" fontId="49" fillId="0" borderId="0" xfId="60" applyFont="1">
      <alignment vertical="center"/>
    </xf>
    <xf numFmtId="169" fontId="49" fillId="0" borderId="0" xfId="58" applyNumberFormat="1" applyFont="1">
      <alignment horizontal="right" vertical="center"/>
    </xf>
    <xf numFmtId="169" fontId="49" fillId="0" borderId="0" xfId="56" applyNumberFormat="1" applyFont="1">
      <alignment vertical="center"/>
    </xf>
    <xf numFmtId="169" fontId="3" fillId="0" borderId="0" xfId="0" applyNumberFormat="1" applyFont="1"/>
    <xf numFmtId="0" fontId="50" fillId="0" borderId="0" xfId="59" applyFont="1">
      <alignment vertical="center"/>
    </xf>
    <xf numFmtId="169" fontId="50" fillId="0" borderId="3" xfId="58" applyNumberFormat="1" applyFont="1" applyBorder="1">
      <alignment horizontal="right" vertical="center"/>
    </xf>
    <xf numFmtId="165" fontId="36" fillId="13" borderId="5" xfId="15" applyAlignment="1">
      <alignment horizontal="center" vertical="center"/>
      <protection locked="0"/>
    </xf>
    <xf numFmtId="169" fontId="3" fillId="0" borderId="8" xfId="14" applyNumberFormat="1" applyBorder="1" applyAlignment="1">
      <alignment horizontal="center" vertical="center"/>
    </xf>
    <xf numFmtId="9" fontId="36" fillId="13" borderId="5" xfId="15" applyNumberFormat="1" applyAlignment="1">
      <alignment horizontal="right"/>
      <protection locked="0"/>
    </xf>
    <xf numFmtId="0" fontId="7" fillId="0" borderId="0" xfId="37" applyFont="1" applyAlignment="1">
      <alignment horizontal="center" vertical="center"/>
    </xf>
    <xf numFmtId="0" fontId="35" fillId="0" borderId="0" xfId="37" applyFont="1" applyAlignment="1">
      <alignment horizontal="left" vertical="center" indent="1"/>
    </xf>
    <xf numFmtId="0" fontId="35" fillId="0" borderId="0" xfId="37" applyFont="1">
      <alignment horizontal="left" vertical="center"/>
    </xf>
    <xf numFmtId="0" fontId="36" fillId="0" borderId="0" xfId="37" applyAlignment="1">
      <alignment horizontal="left" vertical="center" wrapText="1"/>
    </xf>
  </cellXfs>
  <cellStyles count="65">
    <cellStyle name="Bad" xfId="23" builtinId="27" hidden="1"/>
    <cellStyle name="Calculation" xfId="27" builtinId="22" hidden="1"/>
    <cellStyle name="Check Cell" xfId="29" builtinId="23" hidden="1"/>
    <cellStyle name="Check RedRedGreen" xfId="47" xr:uid="{00000000-0005-0000-0000-000003000000}"/>
    <cellStyle name="Currency" xfId="1" builtinId="4" hidden="1" customBuiltin="1"/>
    <cellStyle name="Currency" xfId="41" xr:uid="{00000000-0005-0000-0000-000005000000}"/>
    <cellStyle name="Currency Assumptions" xfId="20" xr:uid="{00000000-0005-0000-0000-000006000000}"/>
    <cellStyle name="Currency Input" xfId="52" xr:uid="{00000000-0005-0000-0000-000007000000}"/>
    <cellStyle name="Date" xfId="12" xr:uid="{00000000-0005-0000-0000-000008000000}"/>
    <cellStyle name="Date Assumptions" xfId="13" xr:uid="{00000000-0005-0000-0000-000009000000}"/>
    <cellStyle name="Date Input" xfId="51" xr:uid="{00000000-0005-0000-0000-00000A000000}"/>
    <cellStyle name="Explanatory Text" xfId="32" builtinId="53" hidden="1"/>
    <cellStyle name="Good" xfId="22" builtinId="26" hidden="1"/>
    <cellStyle name="Heading 1" xfId="3" builtinId="16" customBuiltin="1"/>
    <cellStyle name="Heading 2" xfId="4" builtinId="17" hidden="1" customBuiltin="1"/>
    <cellStyle name="Heading 2 Input" xfId="39" xr:uid="{00000000-0005-0000-0000-00000F000000}"/>
    <cellStyle name="Heading 2 Output" xfId="40" xr:uid="{00000000-0005-0000-0000-000010000000}"/>
    <cellStyle name="Heading 3" xfId="5" builtinId="18" hidden="1" customBuiltin="1"/>
    <cellStyle name="Heading 3" xfId="61" builtinId="18"/>
    <cellStyle name="Heading 3 Input" xfId="35" xr:uid="{00000000-0005-0000-0000-000013000000}"/>
    <cellStyle name="Heading 3 Output" xfId="36" xr:uid="{00000000-0005-0000-0000-000014000000}"/>
    <cellStyle name="Heading 4" xfId="6" builtinId="19" hidden="1" customBuiltin="1"/>
    <cellStyle name="Heading 4" xfId="62" builtinId="19"/>
    <cellStyle name="Heading 4 Assumptions" xfId="8" xr:uid="{00000000-0005-0000-0000-000017000000}"/>
    <cellStyle name="Heading 4 Input" xfId="37" xr:uid="{00000000-0005-0000-0000-000018000000}"/>
    <cellStyle name="Heading 4 Output" xfId="38" xr:uid="{00000000-0005-0000-0000-000019000000}"/>
    <cellStyle name="Hyperlink" xfId="33" builtinId="8" customBuiltin="1"/>
    <cellStyle name="Hyperlink 2" xfId="64" xr:uid="{00000000-0005-0000-0000-00001B000000}"/>
    <cellStyle name="Input" xfId="25" builtinId="20" hidden="1"/>
    <cellStyle name="Line Item Modifier" xfId="42" xr:uid="{00000000-0005-0000-0000-00001D000000}"/>
    <cellStyle name="Linked Cell" xfId="28" builtinId="24" hidden="1"/>
    <cellStyle name="Multiple" xfId="18" xr:uid="{00000000-0005-0000-0000-00001F000000}"/>
    <cellStyle name="Multiple Assumptions" xfId="19" xr:uid="{00000000-0005-0000-0000-000020000000}"/>
    <cellStyle name="Multiple Input" xfId="53" xr:uid="{00000000-0005-0000-0000-000021000000}"/>
    <cellStyle name="Neutral" xfId="24" builtinId="28" hidden="1"/>
    <cellStyle name="Normal" xfId="0" builtinId="0" customBuiltin="1"/>
    <cellStyle name="Normal 2" xfId="63" xr:uid="{00000000-0005-0000-0000-000024000000}"/>
    <cellStyle name="Note" xfId="31" builtinId="10" hidden="1"/>
    <cellStyle name="Number" xfId="14" xr:uid="{00000000-0005-0000-0000-000026000000}"/>
    <cellStyle name="Number Assumptions" xfId="15" xr:uid="{00000000-0005-0000-0000-000027000000}"/>
    <cellStyle name="Number Input" xfId="50" xr:uid="{00000000-0005-0000-0000-000028000000}"/>
    <cellStyle name="Output" xfId="26" builtinId="21" hidden="1"/>
    <cellStyle name="Percentage" xfId="16" xr:uid="{00000000-0005-0000-0000-00002A000000}"/>
    <cellStyle name="Percentage Assumptions" xfId="17" xr:uid="{00000000-0005-0000-0000-00002B000000}"/>
    <cellStyle name="Percentage Input" xfId="54" xr:uid="{00000000-0005-0000-0000-00002C000000}"/>
    <cellStyle name="Presentation Heading 2" xfId="57" xr:uid="{00000000-0005-0000-0000-00002D000000}"/>
    <cellStyle name="Presentation Heading 3" xfId="59" xr:uid="{00000000-0005-0000-0000-00002E000000}"/>
    <cellStyle name="Presentation Heading 4" xfId="60" xr:uid="{00000000-0005-0000-0000-00002F000000}"/>
    <cellStyle name="Presentation Normal" xfId="56" xr:uid="{00000000-0005-0000-0000-000030000000}"/>
    <cellStyle name="Presentation Number" xfId="58" xr:uid="{00000000-0005-0000-0000-000031000000}"/>
    <cellStyle name="Right Date" xfId="43" xr:uid="{00000000-0005-0000-0000-000032000000}"/>
    <cellStyle name="Right Number" xfId="44" xr:uid="{00000000-0005-0000-0000-000033000000}"/>
    <cellStyle name="Sheet Title Input" xfId="21" xr:uid="{00000000-0005-0000-0000-000034000000}"/>
    <cellStyle name="Sheet Title Outupt" xfId="34" xr:uid="{00000000-0005-0000-0000-000035000000}"/>
    <cellStyle name="Style 1" xfId="11" xr:uid="{00000000-0005-0000-0000-000036000000}"/>
    <cellStyle name="Table Header 1" xfId="45" xr:uid="{00000000-0005-0000-0000-000037000000}"/>
    <cellStyle name="Table Header 2" xfId="46" xr:uid="{00000000-0005-0000-0000-000038000000}"/>
    <cellStyle name="Title" xfId="2" builtinId="15" hidden="1"/>
    <cellStyle name="Total" xfId="7" builtinId="25" hidden="1"/>
    <cellStyle name="Trigger Assumption GreenRedGrey" xfId="48" xr:uid="{00000000-0005-0000-0000-00003B000000}"/>
    <cellStyle name="Trigger GreenRedGrey" xfId="49" xr:uid="{00000000-0005-0000-0000-00003C000000}"/>
    <cellStyle name="Warning Text" xfId="30" builtinId="11" hidden="1"/>
    <cellStyle name="Year" xfId="9" xr:uid="{00000000-0005-0000-0000-00003E000000}"/>
    <cellStyle name="Year Assumptions" xfId="10" xr:uid="{00000000-0005-0000-0000-00003F000000}"/>
    <cellStyle name="Year Input" xfId="55" xr:uid="{00000000-0005-0000-0000-000040000000}"/>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val="0"/>
        <i val="0"/>
        <color rgb="FF00B050"/>
      </font>
    </dxf>
    <dxf>
      <font>
        <b/>
        <i val="0"/>
        <color rgb="FFFF0000"/>
      </font>
    </dxf>
    <dxf>
      <font>
        <strike/>
        <color theme="0" tint="-0.34998626667073579"/>
      </font>
      <fill>
        <patternFill patternType="none">
          <bgColor auto="1"/>
        </patternFill>
      </fill>
    </dxf>
    <dxf>
      <font>
        <strike/>
        <color theme="0" tint="-0.24994659260841701"/>
      </font>
      <fill>
        <patternFill patternType="none">
          <bgColor auto="1"/>
        </patternFill>
      </fill>
    </dxf>
  </dxfs>
  <tableStyles count="0" defaultTableStyle="TableStyleMedium2" defaultPivotStyle="PivotStyleLight16"/>
  <colors>
    <mruColors>
      <color rgb="FF139C00"/>
      <color rgb="FF426286"/>
      <color rgb="FFFF0066"/>
      <color rgb="FFCC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01387326584177E-2"/>
          <c:y val="8.5090030412865045E-2"/>
          <c:w val="0.87586051743532078"/>
          <c:h val="0.56280231637711953"/>
        </c:manualLayout>
      </c:layout>
      <c:barChart>
        <c:barDir val="col"/>
        <c:grouping val="stacked"/>
        <c:varyColors val="0"/>
        <c:ser>
          <c:idx val="0"/>
          <c:order val="0"/>
          <c:tx>
            <c:strRef>
              <c:f>Dshbrd!$AF$11</c:f>
              <c:strCache>
                <c:ptCount val="1"/>
                <c:pt idx="0">
                  <c:v>Revenue Category 2</c:v>
                </c:pt>
              </c:strCache>
            </c:strRef>
          </c:tx>
          <c:spPr>
            <a:ln>
              <a:solidFill>
                <a:schemeClr val="bg1"/>
              </a:solidFill>
            </a:ln>
          </c:spPr>
          <c:invertIfNegative val="0"/>
          <c:cat>
            <c:numRef>
              <c:f>Dshbrd!$AG$10:$AK$10</c:f>
              <c:numCache>
                <c:formatCode>mmm\-yy_)</c:formatCode>
                <c:ptCount val="5"/>
                <c:pt idx="0">
                  <c:v>41455</c:v>
                </c:pt>
                <c:pt idx="1">
                  <c:v>41820</c:v>
                </c:pt>
                <c:pt idx="2">
                  <c:v>42185</c:v>
                </c:pt>
                <c:pt idx="3">
                  <c:v>42551</c:v>
                </c:pt>
                <c:pt idx="4">
                  <c:v>42916</c:v>
                </c:pt>
              </c:numCache>
            </c:numRef>
          </c:cat>
          <c:val>
            <c:numRef>
              <c:f>Dshbrd!$AG$11:$AK$11</c:f>
              <c:numCache>
                <c:formatCode>[&gt;=1000]#,##0,\ \k;[&lt;=-1000]\-#,##0,\ \k;#,##0</c:formatCode>
                <c:ptCount val="5"/>
                <c:pt idx="0">
                  <c:v>20</c:v>
                </c:pt>
                <c:pt idx="1">
                  <c:v>21.400000000000002</c:v>
                </c:pt>
                <c:pt idx="2">
                  <c:v>22.898000000000003</c:v>
                </c:pt>
                <c:pt idx="3">
                  <c:v>24.500860000000007</c:v>
                </c:pt>
                <c:pt idx="4">
                  <c:v>26.21592020000001</c:v>
                </c:pt>
              </c:numCache>
            </c:numRef>
          </c:val>
          <c:extLst>
            <c:ext xmlns:c16="http://schemas.microsoft.com/office/drawing/2014/chart" uri="{C3380CC4-5D6E-409C-BE32-E72D297353CC}">
              <c16:uniqueId val="{00000000-904B-49D7-8983-9BABE9C955E3}"/>
            </c:ext>
          </c:extLst>
        </c:ser>
        <c:ser>
          <c:idx val="1"/>
          <c:order val="1"/>
          <c:tx>
            <c:strRef>
              <c:f>Dshbrd!$AF$12</c:f>
              <c:strCache>
                <c:ptCount val="1"/>
                <c:pt idx="0">
                  <c:v>Revenue Category 3</c:v>
                </c:pt>
              </c:strCache>
            </c:strRef>
          </c:tx>
          <c:spPr>
            <a:ln>
              <a:solidFill>
                <a:schemeClr val="bg1"/>
              </a:solidFill>
            </a:ln>
          </c:spPr>
          <c:invertIfNegative val="0"/>
          <c:cat>
            <c:numRef>
              <c:f>Dshbrd!$AG$10:$AK$10</c:f>
              <c:numCache>
                <c:formatCode>mmm\-yy_)</c:formatCode>
                <c:ptCount val="5"/>
                <c:pt idx="0">
                  <c:v>41455</c:v>
                </c:pt>
                <c:pt idx="1">
                  <c:v>41820</c:v>
                </c:pt>
                <c:pt idx="2">
                  <c:v>42185</c:v>
                </c:pt>
                <c:pt idx="3">
                  <c:v>42551</c:v>
                </c:pt>
                <c:pt idx="4">
                  <c:v>42916</c:v>
                </c:pt>
              </c:numCache>
            </c:numRef>
          </c:cat>
          <c:val>
            <c:numRef>
              <c:f>Dshbrd!$AG$12:$AK$12</c:f>
              <c:numCache>
                <c:formatCode>[&gt;=1000]#,##0,\ \k;[&lt;=-1000]\-#,##0,\ \k;#,##0</c:formatCode>
                <c:ptCount val="5"/>
                <c:pt idx="0">
                  <c:v>20</c:v>
                </c:pt>
                <c:pt idx="1">
                  <c:v>21.6</c:v>
                </c:pt>
                <c:pt idx="2">
                  <c:v>23.328000000000003</c:v>
                </c:pt>
                <c:pt idx="3">
                  <c:v>25.194240000000004</c:v>
                </c:pt>
                <c:pt idx="4">
                  <c:v>27.209779200000007</c:v>
                </c:pt>
              </c:numCache>
            </c:numRef>
          </c:val>
          <c:extLst>
            <c:ext xmlns:c16="http://schemas.microsoft.com/office/drawing/2014/chart" uri="{C3380CC4-5D6E-409C-BE32-E72D297353CC}">
              <c16:uniqueId val="{00000001-904B-49D7-8983-9BABE9C955E3}"/>
            </c:ext>
          </c:extLst>
        </c:ser>
        <c:ser>
          <c:idx val="2"/>
          <c:order val="2"/>
          <c:tx>
            <c:strRef>
              <c:f>Dshbrd!$AF$13</c:f>
              <c:strCache>
                <c:ptCount val="1"/>
                <c:pt idx="0">
                  <c:v>Revenue Category 4</c:v>
                </c:pt>
              </c:strCache>
            </c:strRef>
          </c:tx>
          <c:spPr>
            <a:ln>
              <a:solidFill>
                <a:schemeClr val="bg1"/>
              </a:solidFill>
            </a:ln>
          </c:spPr>
          <c:invertIfNegative val="0"/>
          <c:cat>
            <c:numRef>
              <c:f>Dshbrd!$AG$10:$AK$10</c:f>
              <c:numCache>
                <c:formatCode>mmm\-yy_)</c:formatCode>
                <c:ptCount val="5"/>
                <c:pt idx="0">
                  <c:v>41455</c:v>
                </c:pt>
                <c:pt idx="1">
                  <c:v>41820</c:v>
                </c:pt>
                <c:pt idx="2">
                  <c:v>42185</c:v>
                </c:pt>
                <c:pt idx="3">
                  <c:v>42551</c:v>
                </c:pt>
                <c:pt idx="4">
                  <c:v>42916</c:v>
                </c:pt>
              </c:numCache>
            </c:numRef>
          </c:cat>
          <c:val>
            <c:numRef>
              <c:f>Dshbrd!$AG$13:$AK$13</c:f>
              <c:numCache>
                <c:formatCode>[&gt;=1000]#,##0,\ \k;[&lt;=-1000]\-#,##0,\ \k;#,##0</c:formatCode>
                <c:ptCount val="5"/>
                <c:pt idx="0">
                  <c:v>20</c:v>
                </c:pt>
                <c:pt idx="1">
                  <c:v>21.8</c:v>
                </c:pt>
                <c:pt idx="2">
                  <c:v>23.762000000000004</c:v>
                </c:pt>
                <c:pt idx="3">
                  <c:v>25.900580000000005</c:v>
                </c:pt>
                <c:pt idx="4">
                  <c:v>28.231632200000007</c:v>
                </c:pt>
              </c:numCache>
            </c:numRef>
          </c:val>
          <c:extLst>
            <c:ext xmlns:c16="http://schemas.microsoft.com/office/drawing/2014/chart" uri="{C3380CC4-5D6E-409C-BE32-E72D297353CC}">
              <c16:uniqueId val="{00000002-904B-49D7-8983-9BABE9C955E3}"/>
            </c:ext>
          </c:extLst>
        </c:ser>
        <c:ser>
          <c:idx val="3"/>
          <c:order val="3"/>
          <c:tx>
            <c:strRef>
              <c:f>Dshbrd!$AF$14</c:f>
              <c:strCache>
                <c:ptCount val="1"/>
                <c:pt idx="0">
                  <c:v>Revenue Category 5</c:v>
                </c:pt>
              </c:strCache>
            </c:strRef>
          </c:tx>
          <c:spPr>
            <a:ln>
              <a:solidFill>
                <a:schemeClr val="bg1"/>
              </a:solidFill>
            </a:ln>
          </c:spPr>
          <c:invertIfNegative val="0"/>
          <c:cat>
            <c:numRef>
              <c:f>Dshbrd!$AG$10:$AK$10</c:f>
              <c:numCache>
                <c:formatCode>mmm\-yy_)</c:formatCode>
                <c:ptCount val="5"/>
                <c:pt idx="0">
                  <c:v>41455</c:v>
                </c:pt>
                <c:pt idx="1">
                  <c:v>41820</c:v>
                </c:pt>
                <c:pt idx="2">
                  <c:v>42185</c:v>
                </c:pt>
                <c:pt idx="3">
                  <c:v>42551</c:v>
                </c:pt>
                <c:pt idx="4">
                  <c:v>42916</c:v>
                </c:pt>
              </c:numCache>
            </c:numRef>
          </c:cat>
          <c:val>
            <c:numRef>
              <c:f>Dshbrd!$AG$14:$AK$14</c:f>
              <c:numCache>
                <c:formatCode>[&gt;=1000]#,##0,\ \k;[&lt;=-1000]\-#,##0,\ \k;#,##0</c:formatCode>
                <c:ptCount val="5"/>
                <c:pt idx="0">
                  <c:v>20</c:v>
                </c:pt>
                <c:pt idx="1">
                  <c:v>22</c:v>
                </c:pt>
                <c:pt idx="2">
                  <c:v>24.200000000000003</c:v>
                </c:pt>
                <c:pt idx="3">
                  <c:v>26.620000000000005</c:v>
                </c:pt>
                <c:pt idx="4">
                  <c:v>29.282000000000007</c:v>
                </c:pt>
              </c:numCache>
            </c:numRef>
          </c:val>
          <c:extLst>
            <c:ext xmlns:c16="http://schemas.microsoft.com/office/drawing/2014/chart" uri="{C3380CC4-5D6E-409C-BE32-E72D297353CC}">
              <c16:uniqueId val="{00000003-904B-49D7-8983-9BABE9C955E3}"/>
            </c:ext>
          </c:extLst>
        </c:ser>
        <c:ser>
          <c:idx val="4"/>
          <c:order val="4"/>
          <c:tx>
            <c:strRef>
              <c:f>Dshbrd!$AF$15</c:f>
              <c:strCache>
                <c:ptCount val="1"/>
                <c:pt idx="0">
                  <c:v>Sub Total</c:v>
                </c:pt>
              </c:strCache>
            </c:strRef>
          </c:tx>
          <c:spPr>
            <a:ln>
              <a:solidFill>
                <a:schemeClr val="bg1"/>
              </a:solidFill>
            </a:ln>
          </c:spPr>
          <c:invertIfNegative val="0"/>
          <c:cat>
            <c:numRef>
              <c:f>Dshbrd!$AG$10:$AK$10</c:f>
              <c:numCache>
                <c:formatCode>mmm\-yy_)</c:formatCode>
                <c:ptCount val="5"/>
                <c:pt idx="0">
                  <c:v>41455</c:v>
                </c:pt>
                <c:pt idx="1">
                  <c:v>41820</c:v>
                </c:pt>
                <c:pt idx="2">
                  <c:v>42185</c:v>
                </c:pt>
                <c:pt idx="3">
                  <c:v>42551</c:v>
                </c:pt>
                <c:pt idx="4">
                  <c:v>42916</c:v>
                </c:pt>
              </c:numCache>
            </c:numRef>
          </c:cat>
          <c:val>
            <c:numRef>
              <c:f>Dshbrd!$AG$15:$AK$15</c:f>
              <c:numCache>
                <c:formatCode>[&gt;=1000]#,##0,\ \k;[&lt;=-1000]\-#,##0,\ \k;#,##0</c:formatCode>
                <c:ptCount val="5"/>
                <c:pt idx="0">
                  <c:v>100</c:v>
                </c:pt>
                <c:pt idx="1">
                  <c:v>108.00000000000001</c:v>
                </c:pt>
                <c:pt idx="2">
                  <c:v>116.66000000000001</c:v>
                </c:pt>
                <c:pt idx="3">
                  <c:v>126.03600000000003</c:v>
                </c:pt>
                <c:pt idx="4">
                  <c:v>136.18887080000005</c:v>
                </c:pt>
              </c:numCache>
            </c:numRef>
          </c:val>
          <c:extLst>
            <c:ext xmlns:c16="http://schemas.microsoft.com/office/drawing/2014/chart" uri="{C3380CC4-5D6E-409C-BE32-E72D297353CC}">
              <c16:uniqueId val="{00000004-904B-49D7-8983-9BABE9C955E3}"/>
            </c:ext>
          </c:extLst>
        </c:ser>
        <c:dLbls>
          <c:showLegendKey val="0"/>
          <c:showVal val="0"/>
          <c:showCatName val="0"/>
          <c:showSerName val="0"/>
          <c:showPercent val="0"/>
          <c:showBubbleSize val="0"/>
        </c:dLbls>
        <c:gapWidth val="150"/>
        <c:overlap val="100"/>
        <c:axId val="314376960"/>
        <c:axId val="314378496"/>
      </c:barChart>
      <c:dateAx>
        <c:axId val="314376960"/>
        <c:scaling>
          <c:orientation val="minMax"/>
        </c:scaling>
        <c:delete val="0"/>
        <c:axPos val="b"/>
        <c:numFmt formatCode="mmm\-yy_)" sourceLinked="1"/>
        <c:majorTickMark val="out"/>
        <c:minorTickMark val="none"/>
        <c:tickLblPos val="nextTo"/>
        <c:txPr>
          <a:bodyPr rot="5400000"/>
          <a:lstStyle/>
          <a:p>
            <a:pPr>
              <a:defRPr/>
            </a:pPr>
            <a:endParaRPr lang="en-US"/>
          </a:p>
        </c:txPr>
        <c:crossAx val="314378496"/>
        <c:crosses val="autoZero"/>
        <c:auto val="1"/>
        <c:lblOffset val="100"/>
        <c:baseTimeUnit val="years"/>
      </c:dateAx>
      <c:valAx>
        <c:axId val="314378496"/>
        <c:scaling>
          <c:orientation val="minMax"/>
        </c:scaling>
        <c:delete val="0"/>
        <c:axPos val="l"/>
        <c:numFmt formatCode="[&gt;=1000]#,##0,\ \k;[&lt;=-1000]\-#,##0,\ \k;#,##0" sourceLinked="1"/>
        <c:majorTickMark val="out"/>
        <c:minorTickMark val="none"/>
        <c:tickLblPos val="nextTo"/>
        <c:crossAx val="314376960"/>
        <c:crosses val="autoZero"/>
        <c:crossBetween val="between"/>
      </c:valAx>
    </c:plotArea>
    <c:legend>
      <c:legendPos val="b"/>
      <c:layout>
        <c:manualLayout>
          <c:xMode val="edge"/>
          <c:yMode val="edge"/>
          <c:x val="0"/>
          <c:y val="0.81446919135108109"/>
          <c:w val="1"/>
          <c:h val="0.16013398325209346"/>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01387326584177E-2"/>
          <c:y val="7.6624421947256577E-2"/>
          <c:w val="0.87586051743532078"/>
          <c:h val="0.57126792484272804"/>
        </c:manualLayout>
      </c:layout>
      <c:barChart>
        <c:barDir val="col"/>
        <c:grouping val="stacked"/>
        <c:varyColors val="0"/>
        <c:ser>
          <c:idx val="0"/>
          <c:order val="0"/>
          <c:tx>
            <c:strRef>
              <c:f>Dshbrd!$AF$16</c:f>
              <c:strCache>
                <c:ptCount val="1"/>
                <c:pt idx="0">
                  <c:v>Total Cost of Sales</c:v>
                </c:pt>
              </c:strCache>
            </c:strRef>
          </c:tx>
          <c:spPr>
            <a:ln>
              <a:solidFill>
                <a:schemeClr val="bg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Dshbrd!$AG$10:$AK$10</c:f>
              <c:numCache>
                <c:formatCode>mmm\-yy_)</c:formatCode>
                <c:ptCount val="5"/>
                <c:pt idx="0">
                  <c:v>41455</c:v>
                </c:pt>
                <c:pt idx="1">
                  <c:v>41820</c:v>
                </c:pt>
                <c:pt idx="2">
                  <c:v>42185</c:v>
                </c:pt>
                <c:pt idx="3">
                  <c:v>42551</c:v>
                </c:pt>
                <c:pt idx="4">
                  <c:v>42916</c:v>
                </c:pt>
              </c:numCache>
            </c:numRef>
          </c:cat>
          <c:val>
            <c:numRef>
              <c:f>Dshbrd!$AG$16:$AK$16</c:f>
              <c:numCache>
                <c:formatCode>[&gt;=1000]#,##0,\ \k;[&lt;=-1000]\-#,##0,\ \k;#,##0</c:formatCode>
                <c:ptCount val="5"/>
                <c:pt idx="0">
                  <c:v>61.499999999999986</c:v>
                </c:pt>
                <c:pt idx="1">
                  <c:v>63.037499999999994</c:v>
                </c:pt>
                <c:pt idx="2">
                  <c:v>64.613437499999989</c:v>
                </c:pt>
                <c:pt idx="3">
                  <c:v>66.228773437499981</c:v>
                </c:pt>
                <c:pt idx="4">
                  <c:v>67.884492773437472</c:v>
                </c:pt>
              </c:numCache>
            </c:numRef>
          </c:val>
          <c:extLst>
            <c:ext xmlns:c16="http://schemas.microsoft.com/office/drawing/2014/chart" uri="{C3380CC4-5D6E-409C-BE32-E72D297353CC}">
              <c16:uniqueId val="{00000000-C49C-41D9-9733-47E032DBED26}"/>
            </c:ext>
          </c:extLst>
        </c:ser>
        <c:ser>
          <c:idx val="1"/>
          <c:order val="1"/>
          <c:tx>
            <c:strRef>
              <c:f>Dshbrd!$AF$17</c:f>
              <c:strCache>
                <c:ptCount val="1"/>
                <c:pt idx="0">
                  <c:v>Total Opex</c:v>
                </c:pt>
              </c:strCache>
            </c:strRef>
          </c:tx>
          <c:spPr>
            <a:ln>
              <a:solidFill>
                <a:schemeClr val="bg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Dshbrd!$AG$10:$AK$10</c:f>
              <c:numCache>
                <c:formatCode>mmm\-yy_)</c:formatCode>
                <c:ptCount val="5"/>
                <c:pt idx="0">
                  <c:v>41455</c:v>
                </c:pt>
                <c:pt idx="1">
                  <c:v>41820</c:v>
                </c:pt>
                <c:pt idx="2">
                  <c:v>42185</c:v>
                </c:pt>
                <c:pt idx="3">
                  <c:v>42551</c:v>
                </c:pt>
                <c:pt idx="4">
                  <c:v>42916</c:v>
                </c:pt>
              </c:numCache>
            </c:numRef>
          </c:cat>
          <c:val>
            <c:numRef>
              <c:f>Dshbrd!$AG$17:$AK$17</c:f>
              <c:numCache>
                <c:formatCode>[&gt;=1000]#,##0,\ \k;[&lt;=-1000]\-#,##0,\ \k;#,##0</c:formatCode>
                <c:ptCount val="5"/>
                <c:pt idx="0">
                  <c:v>6</c:v>
                </c:pt>
                <c:pt idx="1">
                  <c:v>12</c:v>
                </c:pt>
                <c:pt idx="2">
                  <c:v>23</c:v>
                </c:pt>
                <c:pt idx="3">
                  <c:v>33</c:v>
                </c:pt>
                <c:pt idx="4">
                  <c:v>23</c:v>
                </c:pt>
              </c:numCache>
            </c:numRef>
          </c:val>
          <c:extLst>
            <c:ext xmlns:c16="http://schemas.microsoft.com/office/drawing/2014/chart" uri="{C3380CC4-5D6E-409C-BE32-E72D297353CC}">
              <c16:uniqueId val="{00000001-C49C-41D9-9733-47E032DBED26}"/>
            </c:ext>
          </c:extLst>
        </c:ser>
        <c:dLbls>
          <c:showLegendKey val="0"/>
          <c:showVal val="0"/>
          <c:showCatName val="0"/>
          <c:showSerName val="0"/>
          <c:showPercent val="0"/>
          <c:showBubbleSize val="0"/>
        </c:dLbls>
        <c:gapWidth val="150"/>
        <c:overlap val="100"/>
        <c:axId val="314420608"/>
        <c:axId val="314422400"/>
      </c:barChart>
      <c:dateAx>
        <c:axId val="314420608"/>
        <c:scaling>
          <c:orientation val="minMax"/>
        </c:scaling>
        <c:delete val="0"/>
        <c:axPos val="b"/>
        <c:numFmt formatCode="mmm\-yy_)" sourceLinked="1"/>
        <c:majorTickMark val="out"/>
        <c:minorTickMark val="none"/>
        <c:tickLblPos val="nextTo"/>
        <c:txPr>
          <a:bodyPr rot="5400000"/>
          <a:lstStyle/>
          <a:p>
            <a:pPr>
              <a:defRPr/>
            </a:pPr>
            <a:endParaRPr lang="en-US"/>
          </a:p>
        </c:txPr>
        <c:crossAx val="314422400"/>
        <c:crosses val="autoZero"/>
        <c:auto val="1"/>
        <c:lblOffset val="100"/>
        <c:baseTimeUnit val="years"/>
      </c:dateAx>
      <c:valAx>
        <c:axId val="314422400"/>
        <c:scaling>
          <c:orientation val="minMax"/>
        </c:scaling>
        <c:delete val="0"/>
        <c:axPos val="l"/>
        <c:numFmt formatCode="[&gt;=1000]#,##0,\ \k;[&lt;=-1000]\-#,##0,\ \k;#,##0" sourceLinked="1"/>
        <c:majorTickMark val="out"/>
        <c:minorTickMark val="none"/>
        <c:tickLblPos val="nextTo"/>
        <c:crossAx val="314420608"/>
        <c:crosses val="autoZero"/>
        <c:crossBetween val="between"/>
      </c:valAx>
    </c:plotArea>
    <c:legend>
      <c:legendPos val="b"/>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01387326584177E-2"/>
          <c:y val="8.0857226180060818E-2"/>
          <c:w val="0.87586051743532078"/>
          <c:h val="0.68132083489563799"/>
        </c:manualLayout>
      </c:layout>
      <c:lineChart>
        <c:grouping val="standard"/>
        <c:varyColors val="0"/>
        <c:ser>
          <c:idx val="0"/>
          <c:order val="0"/>
          <c:tx>
            <c:strRef>
              <c:f>Dshbrd!$D$93</c:f>
              <c:strCache>
                <c:ptCount val="1"/>
                <c:pt idx="0">
                  <c:v>Debt to Equity (%)</c:v>
                </c:pt>
              </c:strCache>
            </c:strRef>
          </c:tx>
          <c:spPr>
            <a:ln>
              <a:solidFill>
                <a:schemeClr val="accent3"/>
              </a:solidFill>
            </a:ln>
          </c:spPr>
          <c:marker>
            <c:symbol val="none"/>
          </c:marker>
          <c:cat>
            <c:numRef>
              <c:f>Dshbrd!$G$78:$K$78</c:f>
              <c:numCache>
                <c:formatCode>mmm\-yy_)</c:formatCode>
                <c:ptCount val="5"/>
                <c:pt idx="0">
                  <c:v>41455</c:v>
                </c:pt>
                <c:pt idx="1">
                  <c:v>41820</c:v>
                </c:pt>
                <c:pt idx="2">
                  <c:v>42185</c:v>
                </c:pt>
                <c:pt idx="3">
                  <c:v>42551</c:v>
                </c:pt>
                <c:pt idx="4">
                  <c:v>42916</c:v>
                </c:pt>
              </c:numCache>
            </c:numRef>
          </c:cat>
          <c:val>
            <c:numRef>
              <c:f>Dshbrd!$G$93:$K$93</c:f>
              <c:numCache>
                <c:formatCode>_(#,##0.0%_);\(#,##0.0%\);_("-"_)</c:formatCode>
                <c:ptCount val="5"/>
                <c:pt idx="0">
                  <c:v>0.20173282189860214</c:v>
                </c:pt>
                <c:pt idx="1">
                  <c:v>0.19642769534131974</c:v>
                </c:pt>
                <c:pt idx="2">
                  <c:v>0.19406112569023531</c:v>
                </c:pt>
                <c:pt idx="3">
                  <c:v>0.19324544659805912</c:v>
                </c:pt>
                <c:pt idx="4">
                  <c:v>0.32011502053350399</c:v>
                </c:pt>
              </c:numCache>
            </c:numRef>
          </c:val>
          <c:smooth val="0"/>
          <c:extLst>
            <c:ext xmlns:c16="http://schemas.microsoft.com/office/drawing/2014/chart" uri="{C3380CC4-5D6E-409C-BE32-E72D297353CC}">
              <c16:uniqueId val="{00000000-A8B0-49C3-8C15-A8E42DCA4D56}"/>
            </c:ext>
          </c:extLst>
        </c:ser>
        <c:ser>
          <c:idx val="1"/>
          <c:order val="1"/>
          <c:tx>
            <c:strRef>
              <c:f>Dshbrd!$D$88</c:f>
              <c:strCache>
                <c:ptCount val="1"/>
                <c:pt idx="0">
                  <c:v>ROE (%)</c:v>
                </c:pt>
              </c:strCache>
            </c:strRef>
          </c:tx>
          <c:marker>
            <c:symbol val="none"/>
          </c:marker>
          <c:val>
            <c:numRef>
              <c:f>Dshbrd!$G$88:$K$88</c:f>
              <c:numCache>
                <c:formatCode>_(#,##0.0%_);\(#,##0.0%\);_("-"_)</c:formatCode>
                <c:ptCount val="5"/>
                <c:pt idx="0">
                  <c:v>7.4811356170959784E-2</c:v>
                </c:pt>
                <c:pt idx="1">
                  <c:v>6.8203378841793935E-2</c:v>
                </c:pt>
                <c:pt idx="2">
                  <c:v>5.408286479656086E-2</c:v>
                </c:pt>
                <c:pt idx="3">
                  <c:v>4.6282567534619984E-2</c:v>
                </c:pt>
                <c:pt idx="4">
                  <c:v>9.6059953559985714E-2</c:v>
                </c:pt>
              </c:numCache>
            </c:numRef>
          </c:val>
          <c:smooth val="0"/>
          <c:extLst>
            <c:ext xmlns:c16="http://schemas.microsoft.com/office/drawing/2014/chart" uri="{C3380CC4-5D6E-409C-BE32-E72D297353CC}">
              <c16:uniqueId val="{00000001-A8B0-49C3-8C15-A8E42DCA4D56}"/>
            </c:ext>
          </c:extLst>
        </c:ser>
        <c:dLbls>
          <c:showLegendKey val="0"/>
          <c:showVal val="0"/>
          <c:showCatName val="0"/>
          <c:showSerName val="0"/>
          <c:showPercent val="0"/>
          <c:showBubbleSize val="0"/>
        </c:dLbls>
        <c:smooth val="0"/>
        <c:axId val="315689984"/>
        <c:axId val="315695872"/>
      </c:lineChart>
      <c:dateAx>
        <c:axId val="315689984"/>
        <c:scaling>
          <c:orientation val="minMax"/>
        </c:scaling>
        <c:delete val="0"/>
        <c:axPos val="b"/>
        <c:numFmt formatCode="mmm\-yy_)" sourceLinked="1"/>
        <c:majorTickMark val="out"/>
        <c:minorTickMark val="none"/>
        <c:tickLblPos val="nextTo"/>
        <c:txPr>
          <a:bodyPr rot="5400000"/>
          <a:lstStyle/>
          <a:p>
            <a:pPr>
              <a:defRPr/>
            </a:pPr>
            <a:endParaRPr lang="en-US"/>
          </a:p>
        </c:txPr>
        <c:crossAx val="315695872"/>
        <c:crosses val="autoZero"/>
        <c:auto val="1"/>
        <c:lblOffset val="100"/>
        <c:baseTimeUnit val="years"/>
      </c:dateAx>
      <c:valAx>
        <c:axId val="315695872"/>
        <c:scaling>
          <c:orientation val="minMax"/>
        </c:scaling>
        <c:delete val="0"/>
        <c:axPos val="l"/>
        <c:numFmt formatCode="_(#,##0.0%_);\(#,##0.0%\);_(&quot;-&quot;_)" sourceLinked="1"/>
        <c:majorTickMark val="out"/>
        <c:minorTickMark val="none"/>
        <c:tickLblPos val="nextTo"/>
        <c:crossAx val="315689984"/>
        <c:crosses val="autoZero"/>
        <c:crossBetween val="between"/>
      </c:valAx>
    </c:plotArea>
    <c:legend>
      <c:legendPos val="b"/>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17693836978131"/>
          <c:y val="7.7787251115903497E-2"/>
          <c:w val="0.83300198807157055"/>
          <c:h val="0.67581456776501658"/>
        </c:manualLayout>
      </c:layout>
      <c:barChart>
        <c:barDir val="col"/>
        <c:grouping val="stacked"/>
        <c:varyColors val="0"/>
        <c:ser>
          <c:idx val="2"/>
          <c:order val="0"/>
          <c:spPr>
            <a:noFill/>
            <a:ln w="25400">
              <a:noFill/>
            </a:ln>
          </c:spPr>
          <c:invertIfNegative val="0"/>
          <c:cat>
            <c:strRef>
              <c:f>Dshbrd!$AA$32:$AA$44</c:f>
              <c:strCache>
                <c:ptCount val="13"/>
                <c:pt idx="0">
                  <c:v>Op CF 13</c:v>
                </c:pt>
                <c:pt idx="1">
                  <c:v>Inv CF 13</c:v>
                </c:pt>
                <c:pt idx="2">
                  <c:v>Fin CF 13</c:v>
                </c:pt>
                <c:pt idx="3">
                  <c:v>Op CF 14</c:v>
                </c:pt>
                <c:pt idx="4">
                  <c:v>Inv CF 14</c:v>
                </c:pt>
                <c:pt idx="5">
                  <c:v>Fin CF 14</c:v>
                </c:pt>
                <c:pt idx="6">
                  <c:v>Op CF 15</c:v>
                </c:pt>
                <c:pt idx="7">
                  <c:v>Inv CF 15</c:v>
                </c:pt>
                <c:pt idx="8">
                  <c:v>Fin CF 15</c:v>
                </c:pt>
                <c:pt idx="9">
                  <c:v>Op CF 16</c:v>
                </c:pt>
                <c:pt idx="10">
                  <c:v>Inv CF 16</c:v>
                </c:pt>
                <c:pt idx="11">
                  <c:v>Fin CF 16</c:v>
                </c:pt>
                <c:pt idx="12">
                  <c:v>Net Change</c:v>
                </c:pt>
              </c:strCache>
            </c:strRef>
          </c:cat>
          <c:val>
            <c:numRef>
              <c:f>Dshbrd!$AG$32:$AG$44</c:f>
              <c:numCache>
                <c:formatCode>_(#,##0_);\(#,##0\);_("-"_)</c:formatCode>
                <c:ptCount val="13"/>
                <c:pt idx="1">
                  <c:v>95.952910958904113</c:v>
                </c:pt>
                <c:pt idx="2">
                  <c:v>95.952910958904113</c:v>
                </c:pt>
                <c:pt idx="3">
                  <c:v>111.20122345890411</c:v>
                </c:pt>
                <c:pt idx="4">
                  <c:v>131.98017893835618</c:v>
                </c:pt>
                <c:pt idx="5">
                  <c:v>123.44663831335617</c:v>
                </c:pt>
                <c:pt idx="6">
                  <c:v>123.44663831335617</c:v>
                </c:pt>
                <c:pt idx="7">
                  <c:v>139.09172821061645</c:v>
                </c:pt>
                <c:pt idx="8">
                  <c:v>130.42748492936644</c:v>
                </c:pt>
                <c:pt idx="9">
                  <c:v>130.42748492936644</c:v>
                </c:pt>
                <c:pt idx="10">
                  <c:v>144.95420520747956</c:v>
                </c:pt>
                <c:pt idx="11">
                  <c:v>136.24417116060457</c:v>
                </c:pt>
              </c:numCache>
            </c:numRef>
          </c:val>
          <c:extLst>
            <c:ext xmlns:c16="http://schemas.microsoft.com/office/drawing/2014/chart" uri="{C3380CC4-5D6E-409C-BE32-E72D297353CC}">
              <c16:uniqueId val="{00000000-9FF9-43F7-854F-AD17A2AB5674}"/>
            </c:ext>
          </c:extLst>
        </c:ser>
        <c:ser>
          <c:idx val="0"/>
          <c:order val="1"/>
          <c:spPr>
            <a:solidFill>
              <a:schemeClr val="accent2"/>
            </a:solidFill>
            <a:ln w="12700">
              <a:solidFill>
                <a:schemeClr val="bg1"/>
              </a:solidFill>
              <a:prstDash val="solid"/>
            </a:ln>
          </c:spPr>
          <c:invertIfNegative val="0"/>
          <c:cat>
            <c:strRef>
              <c:f>Dshbrd!$AA$32:$AA$44</c:f>
              <c:strCache>
                <c:ptCount val="13"/>
                <c:pt idx="0">
                  <c:v>Op CF 13</c:v>
                </c:pt>
                <c:pt idx="1">
                  <c:v>Inv CF 13</c:v>
                </c:pt>
                <c:pt idx="2">
                  <c:v>Fin CF 13</c:v>
                </c:pt>
                <c:pt idx="3">
                  <c:v>Op CF 14</c:v>
                </c:pt>
                <c:pt idx="4">
                  <c:v>Inv CF 14</c:v>
                </c:pt>
                <c:pt idx="5">
                  <c:v>Fin CF 14</c:v>
                </c:pt>
                <c:pt idx="6">
                  <c:v>Op CF 15</c:v>
                </c:pt>
                <c:pt idx="7">
                  <c:v>Inv CF 15</c:v>
                </c:pt>
                <c:pt idx="8">
                  <c:v>Fin CF 15</c:v>
                </c:pt>
                <c:pt idx="9">
                  <c:v>Op CF 16</c:v>
                </c:pt>
                <c:pt idx="10">
                  <c:v>Inv CF 16</c:v>
                </c:pt>
                <c:pt idx="11">
                  <c:v>Fin CF 16</c:v>
                </c:pt>
                <c:pt idx="12">
                  <c:v>Net Change</c:v>
                </c:pt>
              </c:strCache>
            </c:strRef>
          </c:cat>
          <c:val>
            <c:numRef>
              <c:f>Dshbrd!$AE$32:$AE$44</c:f>
              <c:numCache>
                <c:formatCode>_(#,##0_);\(#,##0\);_("-"_)</c:formatCode>
                <c:ptCount val="13"/>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9FF9-43F7-854F-AD17A2AB5674}"/>
            </c:ext>
          </c:extLst>
        </c:ser>
        <c:ser>
          <c:idx val="1"/>
          <c:order val="2"/>
          <c:spPr>
            <a:solidFill>
              <a:schemeClr val="accent3"/>
            </a:solidFill>
            <a:ln w="12700">
              <a:solidFill>
                <a:schemeClr val="bg1"/>
              </a:solidFill>
              <a:prstDash val="solid"/>
            </a:ln>
          </c:spPr>
          <c:invertIfNegative val="0"/>
          <c:cat>
            <c:strRef>
              <c:f>Dshbrd!$AA$32:$AA$44</c:f>
              <c:strCache>
                <c:ptCount val="13"/>
                <c:pt idx="0">
                  <c:v>Op CF 13</c:v>
                </c:pt>
                <c:pt idx="1">
                  <c:v>Inv CF 13</c:v>
                </c:pt>
                <c:pt idx="2">
                  <c:v>Fin CF 13</c:v>
                </c:pt>
                <c:pt idx="3">
                  <c:v>Op CF 14</c:v>
                </c:pt>
                <c:pt idx="4">
                  <c:v>Inv CF 14</c:v>
                </c:pt>
                <c:pt idx="5">
                  <c:v>Fin CF 14</c:v>
                </c:pt>
                <c:pt idx="6">
                  <c:v>Op CF 15</c:v>
                </c:pt>
                <c:pt idx="7">
                  <c:v>Inv CF 15</c:v>
                </c:pt>
                <c:pt idx="8">
                  <c:v>Fin CF 15</c:v>
                </c:pt>
                <c:pt idx="9">
                  <c:v>Op CF 16</c:v>
                </c:pt>
                <c:pt idx="10">
                  <c:v>Inv CF 16</c:v>
                </c:pt>
                <c:pt idx="11">
                  <c:v>Fin CF 16</c:v>
                </c:pt>
                <c:pt idx="12">
                  <c:v>Net Change</c:v>
                </c:pt>
              </c:strCache>
            </c:strRef>
          </c:cat>
          <c:val>
            <c:numRef>
              <c:f>Dshbrd!$AF$32:$AF$44</c:f>
              <c:numCache>
                <c:formatCode>_(#,##0_);\(#,##0\);_("-"_)</c:formatCode>
                <c:ptCount val="13"/>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9FF9-43F7-854F-AD17A2AB5674}"/>
            </c:ext>
          </c:extLst>
        </c:ser>
        <c:ser>
          <c:idx val="3"/>
          <c:order val="3"/>
          <c:spPr>
            <a:solidFill>
              <a:schemeClr val="accent2"/>
            </a:solidFill>
            <a:ln w="12700">
              <a:solidFill>
                <a:schemeClr val="bg1"/>
              </a:solidFill>
              <a:prstDash val="solid"/>
            </a:ln>
          </c:spPr>
          <c:invertIfNegative val="0"/>
          <c:cat>
            <c:strRef>
              <c:f>Dshbrd!$AA$32:$AA$44</c:f>
              <c:strCache>
                <c:ptCount val="13"/>
                <c:pt idx="0">
                  <c:v>Op CF 13</c:v>
                </c:pt>
                <c:pt idx="1">
                  <c:v>Inv CF 13</c:v>
                </c:pt>
                <c:pt idx="2">
                  <c:v>Fin CF 13</c:v>
                </c:pt>
                <c:pt idx="3">
                  <c:v>Op CF 14</c:v>
                </c:pt>
                <c:pt idx="4">
                  <c:v>Inv CF 14</c:v>
                </c:pt>
                <c:pt idx="5">
                  <c:v>Fin CF 14</c:v>
                </c:pt>
                <c:pt idx="6">
                  <c:v>Op CF 15</c:v>
                </c:pt>
                <c:pt idx="7">
                  <c:v>Inv CF 15</c:v>
                </c:pt>
                <c:pt idx="8">
                  <c:v>Fin CF 15</c:v>
                </c:pt>
                <c:pt idx="9">
                  <c:v>Op CF 16</c:v>
                </c:pt>
                <c:pt idx="10">
                  <c:v>Inv CF 16</c:v>
                </c:pt>
                <c:pt idx="11">
                  <c:v>Fin CF 16</c:v>
                </c:pt>
                <c:pt idx="12">
                  <c:v>Net Change</c:v>
                </c:pt>
              </c:strCache>
            </c:strRef>
          </c:cat>
          <c:val>
            <c:numRef>
              <c:f>Dshbrd!$AH$32:$AH$44</c:f>
              <c:numCache>
                <c:formatCode>_(#,##0_);\(#,##0\);_("-"_)</c:formatCode>
                <c:ptCount val="13"/>
                <c:pt idx="1">
                  <c:v>25</c:v>
                </c:pt>
                <c:pt idx="2">
                  <c:v>0</c:v>
                </c:pt>
                <c:pt idx="3">
                  <c:v>0</c:v>
                </c:pt>
                <c:pt idx="4">
                  <c:v>0</c:v>
                </c:pt>
                <c:pt idx="5">
                  <c:v>8.5335406250000005</c:v>
                </c:pt>
                <c:pt idx="6">
                  <c:v>0</c:v>
                </c:pt>
                <c:pt idx="7">
                  <c:v>0</c:v>
                </c:pt>
                <c:pt idx="8">
                  <c:v>8.6642432812500019</c:v>
                </c:pt>
                <c:pt idx="9">
                  <c:v>0</c:v>
                </c:pt>
                <c:pt idx="10">
                  <c:v>0</c:v>
                </c:pt>
                <c:pt idx="11">
                  <c:v>8.7100340468750037</c:v>
                </c:pt>
              </c:numCache>
            </c:numRef>
          </c:val>
          <c:extLst>
            <c:ext xmlns:c16="http://schemas.microsoft.com/office/drawing/2014/chart" uri="{C3380CC4-5D6E-409C-BE32-E72D297353CC}">
              <c16:uniqueId val="{00000003-9FF9-43F7-854F-AD17A2AB5674}"/>
            </c:ext>
          </c:extLst>
        </c:ser>
        <c:ser>
          <c:idx val="4"/>
          <c:order val="4"/>
          <c:spPr>
            <a:solidFill>
              <a:schemeClr val="accent3"/>
            </a:solidFill>
            <a:ln w="12700">
              <a:solidFill>
                <a:schemeClr val="bg1"/>
              </a:solidFill>
              <a:prstDash val="solid"/>
            </a:ln>
          </c:spPr>
          <c:invertIfNegative val="0"/>
          <c:cat>
            <c:strRef>
              <c:f>Dshbrd!$AA$32:$AA$44</c:f>
              <c:strCache>
                <c:ptCount val="13"/>
                <c:pt idx="0">
                  <c:v>Op CF 13</c:v>
                </c:pt>
                <c:pt idx="1">
                  <c:v>Inv CF 13</c:v>
                </c:pt>
                <c:pt idx="2">
                  <c:v>Fin CF 13</c:v>
                </c:pt>
                <c:pt idx="3">
                  <c:v>Op CF 14</c:v>
                </c:pt>
                <c:pt idx="4">
                  <c:v>Inv CF 14</c:v>
                </c:pt>
                <c:pt idx="5">
                  <c:v>Fin CF 14</c:v>
                </c:pt>
                <c:pt idx="6">
                  <c:v>Op CF 15</c:v>
                </c:pt>
                <c:pt idx="7">
                  <c:v>Inv CF 15</c:v>
                </c:pt>
                <c:pt idx="8">
                  <c:v>Fin CF 15</c:v>
                </c:pt>
                <c:pt idx="9">
                  <c:v>Op CF 16</c:v>
                </c:pt>
                <c:pt idx="10">
                  <c:v>Inv CF 16</c:v>
                </c:pt>
                <c:pt idx="11">
                  <c:v>Fin CF 16</c:v>
                </c:pt>
                <c:pt idx="12">
                  <c:v>Net Change</c:v>
                </c:pt>
              </c:strCache>
            </c:strRef>
          </c:cat>
          <c:val>
            <c:numRef>
              <c:f>Dshbrd!$AI$32:$AI$44</c:f>
              <c:numCache>
                <c:formatCode>_(#,##0_);\(#,##0\);_("-"_)</c:formatCode>
                <c:ptCount val="13"/>
                <c:pt idx="1">
                  <c:v>0</c:v>
                </c:pt>
                <c:pt idx="2">
                  <c:v>15.248312499999999</c:v>
                </c:pt>
                <c:pt idx="3">
                  <c:v>20.778955479452062</c:v>
                </c:pt>
                <c:pt idx="4">
                  <c:v>0</c:v>
                </c:pt>
                <c:pt idx="5">
                  <c:v>0</c:v>
                </c:pt>
                <c:pt idx="6">
                  <c:v>15.645089897260288</c:v>
                </c:pt>
                <c:pt idx="7">
                  <c:v>0</c:v>
                </c:pt>
                <c:pt idx="8">
                  <c:v>0</c:v>
                </c:pt>
                <c:pt idx="9">
                  <c:v>14.526720278113105</c:v>
                </c:pt>
                <c:pt idx="10">
                  <c:v>0</c:v>
                </c:pt>
                <c:pt idx="11">
                  <c:v>0</c:v>
                </c:pt>
              </c:numCache>
            </c:numRef>
          </c:val>
          <c:extLst>
            <c:ext xmlns:c16="http://schemas.microsoft.com/office/drawing/2014/chart" uri="{C3380CC4-5D6E-409C-BE32-E72D297353CC}">
              <c16:uniqueId val="{00000004-9FF9-43F7-854F-AD17A2AB5674}"/>
            </c:ext>
          </c:extLst>
        </c:ser>
        <c:ser>
          <c:idx val="5"/>
          <c:order val="5"/>
          <c:spPr>
            <a:solidFill>
              <a:schemeClr val="accent3"/>
            </a:solidFill>
            <a:ln w="12700">
              <a:solidFill>
                <a:schemeClr val="bg1"/>
              </a:solidFill>
              <a:prstDash val="solid"/>
            </a:ln>
          </c:spPr>
          <c:invertIfNegative val="0"/>
          <c:cat>
            <c:strRef>
              <c:f>Dshbrd!$AA$32:$AA$44</c:f>
              <c:strCache>
                <c:ptCount val="13"/>
                <c:pt idx="0">
                  <c:v>Op CF 13</c:v>
                </c:pt>
                <c:pt idx="1">
                  <c:v>Inv CF 13</c:v>
                </c:pt>
                <c:pt idx="2">
                  <c:v>Fin CF 13</c:v>
                </c:pt>
                <c:pt idx="3">
                  <c:v>Op CF 14</c:v>
                </c:pt>
                <c:pt idx="4">
                  <c:v>Inv CF 14</c:v>
                </c:pt>
                <c:pt idx="5">
                  <c:v>Fin CF 14</c:v>
                </c:pt>
                <c:pt idx="6">
                  <c:v>Op CF 15</c:v>
                </c:pt>
                <c:pt idx="7">
                  <c:v>Inv CF 15</c:v>
                </c:pt>
                <c:pt idx="8">
                  <c:v>Fin CF 15</c:v>
                </c:pt>
                <c:pt idx="9">
                  <c:v>Op CF 16</c:v>
                </c:pt>
                <c:pt idx="10">
                  <c:v>Inv CF 16</c:v>
                </c:pt>
                <c:pt idx="11">
                  <c:v>Fin CF 16</c:v>
                </c:pt>
                <c:pt idx="12">
                  <c:v>Net Change</c:v>
                </c:pt>
              </c:strCache>
            </c:strRef>
          </c:cat>
          <c:val>
            <c:numRef>
              <c:f>Dshbrd!$AJ$32:$AJ$44</c:f>
              <c:numCache>
                <c:formatCode>General</c:formatCode>
                <c:ptCount val="13"/>
                <c:pt idx="0" formatCode="_(#,##0_);\(#,##0\);_(&quot;-&quot;_)">
                  <c:v>120.95291095890411</c:v>
                </c:pt>
                <c:pt idx="12" formatCode="_(#,##0_);\(#,##0\);_(&quot;-&quot;_)">
                  <c:v>136.24417116060457</c:v>
                </c:pt>
              </c:numCache>
            </c:numRef>
          </c:val>
          <c:extLst>
            <c:ext xmlns:c16="http://schemas.microsoft.com/office/drawing/2014/chart" uri="{C3380CC4-5D6E-409C-BE32-E72D297353CC}">
              <c16:uniqueId val="{00000005-9FF9-43F7-854F-AD17A2AB5674}"/>
            </c:ext>
          </c:extLst>
        </c:ser>
        <c:dLbls>
          <c:showLegendKey val="0"/>
          <c:showVal val="0"/>
          <c:showCatName val="0"/>
          <c:showSerName val="0"/>
          <c:showPercent val="0"/>
          <c:showBubbleSize val="0"/>
        </c:dLbls>
        <c:gapWidth val="0"/>
        <c:overlap val="100"/>
        <c:axId val="316091008"/>
        <c:axId val="316096896"/>
      </c:barChart>
      <c:lineChart>
        <c:grouping val="standard"/>
        <c:varyColors val="0"/>
        <c:ser>
          <c:idx val="6"/>
          <c:order val="6"/>
          <c:spPr>
            <a:ln w="28575">
              <a:noFill/>
            </a:ln>
          </c:spPr>
          <c:marker>
            <c:symbol val="none"/>
          </c:marker>
          <c:dLbls>
            <c:spPr>
              <a:noFill/>
              <a:ln w="25400">
                <a:noFill/>
              </a:ln>
            </c:spPr>
            <c:dLblPos val="ct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Dshbrd!$AL$32:$AL$44</c:f>
              <c:numCache>
                <c:formatCode>_(#,##0_);\(#,##0\);_("-"_)</c:formatCode>
                <c:ptCount val="13"/>
                <c:pt idx="0">
                  <c:v>120.95291095890411</c:v>
                </c:pt>
                <c:pt idx="1">
                  <c:v>-25</c:v>
                </c:pt>
                <c:pt idx="2">
                  <c:v>15.248312499999999</c:v>
                </c:pt>
                <c:pt idx="3">
                  <c:v>20.778955479452062</c:v>
                </c:pt>
                <c:pt idx="4">
                  <c:v>0</c:v>
                </c:pt>
                <c:pt idx="5">
                  <c:v>-8.5335406250000005</c:v>
                </c:pt>
                <c:pt idx="6">
                  <c:v>15.645089897260288</c:v>
                </c:pt>
                <c:pt idx="7">
                  <c:v>0</c:v>
                </c:pt>
                <c:pt idx="8">
                  <c:v>-8.6642432812500019</c:v>
                </c:pt>
                <c:pt idx="9">
                  <c:v>14.526720278113105</c:v>
                </c:pt>
                <c:pt idx="10">
                  <c:v>0</c:v>
                </c:pt>
                <c:pt idx="11">
                  <c:v>-8.7100340468750037</c:v>
                </c:pt>
                <c:pt idx="12">
                  <c:v>136.24417116060457</c:v>
                </c:pt>
              </c:numCache>
            </c:numRef>
          </c:cat>
          <c:val>
            <c:numRef>
              <c:f>Dshbrd!$AM$32:$AM$44</c:f>
              <c:numCache>
                <c:formatCode>_(#,##0_);\(#,##0\);_("-"_)</c:formatCode>
                <c:ptCount val="13"/>
                <c:pt idx="0">
                  <c:v>60.476455479452056</c:v>
                </c:pt>
                <c:pt idx="1">
                  <c:v>108.45291095890411</c:v>
                </c:pt>
                <c:pt idx="2">
                  <c:v>103.57706720890411</c:v>
                </c:pt>
                <c:pt idx="3">
                  <c:v>121.59070119863014</c:v>
                </c:pt>
                <c:pt idx="4">
                  <c:v>131.98017893835618</c:v>
                </c:pt>
                <c:pt idx="5">
                  <c:v>127.71340862585618</c:v>
                </c:pt>
                <c:pt idx="6">
                  <c:v>131.26918326198631</c:v>
                </c:pt>
                <c:pt idx="7">
                  <c:v>139.09172821061645</c:v>
                </c:pt>
                <c:pt idx="8">
                  <c:v>134.75960656999143</c:v>
                </c:pt>
                <c:pt idx="9">
                  <c:v>137.69084506842302</c:v>
                </c:pt>
                <c:pt idx="10">
                  <c:v>144.95420520747956</c:v>
                </c:pt>
                <c:pt idx="11">
                  <c:v>140.59918818404208</c:v>
                </c:pt>
                <c:pt idx="12">
                  <c:v>68.122085580302283</c:v>
                </c:pt>
              </c:numCache>
            </c:numRef>
          </c:val>
          <c:smooth val="0"/>
          <c:extLst>
            <c:ext xmlns:c16="http://schemas.microsoft.com/office/drawing/2014/chart" uri="{C3380CC4-5D6E-409C-BE32-E72D297353CC}">
              <c16:uniqueId val="{00000006-9FF9-43F7-854F-AD17A2AB5674}"/>
            </c:ext>
          </c:extLst>
        </c:ser>
        <c:dLbls>
          <c:showLegendKey val="0"/>
          <c:showVal val="0"/>
          <c:showCatName val="0"/>
          <c:showSerName val="0"/>
          <c:showPercent val="0"/>
          <c:showBubbleSize val="0"/>
        </c:dLbls>
        <c:marker val="1"/>
        <c:smooth val="0"/>
        <c:axId val="316098432"/>
        <c:axId val="316099968"/>
      </c:lineChart>
      <c:catAx>
        <c:axId val="316091008"/>
        <c:scaling>
          <c:orientation val="minMax"/>
        </c:scaling>
        <c:delete val="0"/>
        <c:axPos val="b"/>
        <c:numFmt formatCode="General" sourceLinked="1"/>
        <c:majorTickMark val="out"/>
        <c:minorTickMark val="none"/>
        <c:tickLblPos val="low"/>
        <c:spPr>
          <a:ln w="3175">
            <a:solidFill>
              <a:schemeClr val="bg1">
                <a:lumMod val="75000"/>
              </a:schemeClr>
            </a:solidFill>
            <a:prstDash val="solid"/>
          </a:ln>
        </c:spPr>
        <c:txPr>
          <a:bodyPr rot="-5400000" vert="horz"/>
          <a:lstStyle/>
          <a:p>
            <a:pPr>
              <a:defRPr/>
            </a:pPr>
            <a:endParaRPr lang="en-US"/>
          </a:p>
        </c:txPr>
        <c:crossAx val="316096896"/>
        <c:crosses val="autoZero"/>
        <c:auto val="1"/>
        <c:lblAlgn val="ctr"/>
        <c:lblOffset val="100"/>
        <c:tickLblSkip val="1"/>
        <c:tickMarkSkip val="1"/>
        <c:noMultiLvlLbl val="0"/>
      </c:catAx>
      <c:valAx>
        <c:axId val="316096896"/>
        <c:scaling>
          <c:orientation val="minMax"/>
        </c:scaling>
        <c:delete val="0"/>
        <c:axPos val="l"/>
        <c:numFmt formatCode="General" sourceLinked="1"/>
        <c:majorTickMark val="out"/>
        <c:minorTickMark val="none"/>
        <c:tickLblPos val="nextTo"/>
        <c:spPr>
          <a:ln w="3175">
            <a:solidFill>
              <a:schemeClr val="bg1">
                <a:lumMod val="75000"/>
              </a:schemeClr>
            </a:solidFill>
            <a:prstDash val="solid"/>
          </a:ln>
        </c:spPr>
        <c:txPr>
          <a:bodyPr rot="0" vert="horz"/>
          <a:lstStyle/>
          <a:p>
            <a:pPr>
              <a:defRPr/>
            </a:pPr>
            <a:endParaRPr lang="en-US"/>
          </a:p>
        </c:txPr>
        <c:crossAx val="316091008"/>
        <c:crosses val="autoZero"/>
        <c:crossBetween val="between"/>
      </c:valAx>
      <c:catAx>
        <c:axId val="316098432"/>
        <c:scaling>
          <c:orientation val="minMax"/>
        </c:scaling>
        <c:delete val="1"/>
        <c:axPos val="b"/>
        <c:numFmt formatCode="_(#,##0_);\(#,##0\);_(&quot;-&quot;_)" sourceLinked="1"/>
        <c:majorTickMark val="out"/>
        <c:minorTickMark val="none"/>
        <c:tickLblPos val="nextTo"/>
        <c:crossAx val="316099968"/>
        <c:crosses val="autoZero"/>
        <c:auto val="1"/>
        <c:lblAlgn val="ctr"/>
        <c:lblOffset val="100"/>
        <c:noMultiLvlLbl val="0"/>
      </c:catAx>
      <c:valAx>
        <c:axId val="316099968"/>
        <c:scaling>
          <c:orientation val="minMax"/>
          <c:max val="200"/>
          <c:min val="-200"/>
        </c:scaling>
        <c:delete val="1"/>
        <c:axPos val="r"/>
        <c:numFmt formatCode="_(#,##0_);\(#,##0\);_(&quot;-&quot;_)" sourceLinked="1"/>
        <c:majorTickMark val="out"/>
        <c:minorTickMark val="none"/>
        <c:tickLblPos val="nextTo"/>
        <c:crossAx val="316098432"/>
        <c:crosses val="max"/>
        <c:crossBetween val="between"/>
      </c:valAx>
      <c:spPr>
        <a:noFill/>
        <a:ln w="25400">
          <a:noFill/>
        </a:ln>
      </c:spPr>
    </c:plotArea>
    <c:plotVisOnly val="1"/>
    <c:dispBlanksAs val="gap"/>
    <c:showDLblsOverMax val="0"/>
  </c:chart>
  <c:spPr>
    <a:solidFill>
      <a:srgbClr val="FFFFFF"/>
    </a:solidFill>
    <a:ln w="0">
      <a:solidFill>
        <a:schemeClr val="bg1">
          <a:lumMod val="50000"/>
        </a:schemeClr>
      </a:solidFill>
      <a:prstDash val="solid"/>
    </a:ln>
    <a:effectLst/>
  </c:spPr>
  <c:txPr>
    <a:bodyPr/>
    <a:lstStyle/>
    <a:p>
      <a:pPr>
        <a:defRPr sz="1000" b="0" i="0" u="none" strike="noStrike" baseline="0">
          <a:solidFill>
            <a:srgbClr val="000000"/>
          </a:solidFill>
          <a:latin typeface="+mn-lt"/>
          <a:ea typeface="Arial"/>
          <a:cs typeface="Arial"/>
        </a:defRPr>
      </a:pPr>
      <a:endParaRPr lang="en-US"/>
    </a:p>
  </c:txPr>
  <c:printSettings>
    <c:headerFooter alignWithMargins="0"/>
    <c:pageMargins b="1" l="0.75" r="0.75" t="1" header="0.5" footer="0.5"/>
    <c:pageSetup paperSize="9" orientation="landscape"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5</xdr:colOff>
      <xdr:row>5</xdr:row>
      <xdr:rowOff>104778</xdr:rowOff>
    </xdr:from>
    <xdr:to>
      <xdr:col>10</xdr:col>
      <xdr:colOff>438837</xdr:colOff>
      <xdr:row>12</xdr:row>
      <xdr:rowOff>110367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0205" y="1076328"/>
          <a:ext cx="4706032" cy="100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11</xdr:row>
      <xdr:rowOff>0</xdr:rowOff>
    </xdr:from>
    <xdr:to>
      <xdr:col>20</xdr:col>
      <xdr:colOff>0</xdr:colOff>
      <xdr:row>30</xdr:row>
      <xdr:rowOff>142874</xdr:rowOff>
    </xdr:to>
    <xdr:graphicFrame macro="">
      <xdr:nvGraphicFramePr>
        <xdr:cNvPr id="343" name="Chart 342">
          <a:extLst>
            <a:ext uri="{FF2B5EF4-FFF2-40B4-BE49-F238E27FC236}">
              <a16:creationId xmlns:a16="http://schemas.microsoft.com/office/drawing/2014/main" id="{00000000-0008-0000-0300-000057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32</xdr:row>
      <xdr:rowOff>133350</xdr:rowOff>
    </xdr:from>
    <xdr:to>
      <xdr:col>20</xdr:col>
      <xdr:colOff>0</xdr:colOff>
      <xdr:row>52</xdr:row>
      <xdr:rowOff>28575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55</xdr:row>
      <xdr:rowOff>38100</xdr:rowOff>
    </xdr:from>
    <xdr:to>
      <xdr:col>20</xdr:col>
      <xdr:colOff>0</xdr:colOff>
      <xdr:row>73</xdr:row>
      <xdr:rowOff>123825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xdr:colOff>
      <xdr:row>77</xdr:row>
      <xdr:rowOff>47625</xdr:rowOff>
    </xdr:from>
    <xdr:to>
      <xdr:col>20</xdr:col>
      <xdr:colOff>0</xdr:colOff>
      <xdr:row>97</xdr:row>
      <xdr:rowOff>9525</xdr:rowOff>
    </xdr:to>
    <xdr:graphicFrame macro="">
      <xdr:nvGraphicFramePr>
        <xdr:cNvPr id="5" name="Chart 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fficedesign\Work\Users\alexla\Desktop\MFM%20-%20Crane%20Model%201701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fficedesign\Work\Users\Joe\Documents\Documents\Contracting%20Related\Sheet%20One%20Consulting%20Pty%20Ltd\Client%20Files\Cockatoo\Cockatoo%20Island%20Corporate%20Model%20-%20201211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smptn"/>
      <sheetName val="Stmnts_Pesos"/>
      <sheetName val="Comp_Dash"/>
      <sheetName val="Crane_Dash"/>
      <sheetName val="Checks"/>
      <sheetName val="Lookup"/>
    </sheetNames>
    <sheetDataSet>
      <sheetData sheetId="0"/>
      <sheetData sheetId="1">
        <row r="32">
          <cell r="H32">
            <v>1</v>
          </cell>
        </row>
        <row r="36">
          <cell r="H36" t="str">
            <v>Pesos (m)</v>
          </cell>
        </row>
      </sheetData>
      <sheetData sheetId="2"/>
      <sheetData sheetId="3"/>
      <sheetData sheetId="4"/>
      <sheetData sheetId="5">
        <row r="11">
          <cell r="H11" t="str">
            <v>No Errors Found</v>
          </cell>
        </row>
      </sheetData>
      <sheetData sheetId="6">
        <row r="73">
          <cell r="D73">
            <v>1</v>
          </cell>
        </row>
        <row r="74">
          <cell r="D74">
            <v>3</v>
          </cell>
        </row>
        <row r="75">
          <cell r="D75">
            <v>12</v>
          </cell>
        </row>
        <row r="76">
          <cell r="D76">
            <v>7</v>
          </cell>
        </row>
        <row r="77">
          <cell r="D77" t="str">
            <v>Q1</v>
          </cell>
        </row>
        <row r="78">
          <cell r="D78" t="str">
            <v>Q2</v>
          </cell>
        </row>
        <row r="79">
          <cell r="D79" t="str">
            <v>Q3</v>
          </cell>
        </row>
        <row r="80">
          <cell r="D80" t="str">
            <v>Q4</v>
          </cell>
        </row>
        <row r="82">
          <cell r="D82" t="str">
            <v>Ok</v>
          </cell>
        </row>
        <row r="83">
          <cell r="D83" t="str">
            <v>Error</v>
          </cell>
        </row>
        <row r="87">
          <cell r="D87" t="str">
            <v>Yes</v>
          </cell>
        </row>
        <row r="88">
          <cell r="D88" t="str">
            <v>No</v>
          </cell>
        </row>
        <row r="92">
          <cell r="D92" t="str">
            <v>Monthly</v>
          </cell>
        </row>
        <row r="93">
          <cell r="D93" t="str">
            <v>Quarterly</v>
          </cell>
        </row>
        <row r="94">
          <cell r="D94" t="str">
            <v>Yearly</v>
          </cell>
        </row>
        <row r="98">
          <cell r="D98" t="str">
            <v>Monthly</v>
          </cell>
        </row>
        <row r="99">
          <cell r="D99" t="str">
            <v>Quarterly</v>
          </cell>
        </row>
        <row r="100">
          <cell r="D100" t="str">
            <v>Calander Years</v>
          </cell>
        </row>
        <row r="101">
          <cell r="D101" t="str">
            <v>Financial Years</v>
          </cell>
        </row>
        <row r="106">
          <cell r="D106" t="str">
            <v>January</v>
          </cell>
          <cell r="E106">
            <v>1</v>
          </cell>
        </row>
        <row r="107">
          <cell r="D107" t="str">
            <v>February</v>
          </cell>
          <cell r="E107">
            <v>2</v>
          </cell>
        </row>
        <row r="108">
          <cell r="D108" t="str">
            <v>March</v>
          </cell>
          <cell r="E108">
            <v>3</v>
          </cell>
        </row>
        <row r="109">
          <cell r="D109" t="str">
            <v>April</v>
          </cell>
          <cell r="E109">
            <v>1</v>
          </cell>
        </row>
        <row r="110">
          <cell r="D110" t="str">
            <v>May</v>
          </cell>
          <cell r="E110">
            <v>2</v>
          </cell>
        </row>
        <row r="111">
          <cell r="D111" t="str">
            <v>June</v>
          </cell>
          <cell r="E111">
            <v>3</v>
          </cell>
        </row>
        <row r="112">
          <cell r="D112" t="str">
            <v>July</v>
          </cell>
          <cell r="E112">
            <v>1</v>
          </cell>
        </row>
        <row r="113">
          <cell r="D113" t="str">
            <v>August</v>
          </cell>
          <cell r="E113">
            <v>2</v>
          </cell>
        </row>
        <row r="114">
          <cell r="D114" t="str">
            <v>September</v>
          </cell>
          <cell r="E114">
            <v>3</v>
          </cell>
        </row>
        <row r="115">
          <cell r="D115" t="str">
            <v>October</v>
          </cell>
          <cell r="E115">
            <v>1</v>
          </cell>
        </row>
        <row r="116">
          <cell r="D116" t="str">
            <v>November</v>
          </cell>
          <cell r="E116">
            <v>2</v>
          </cell>
        </row>
        <row r="117">
          <cell r="D117" t="str">
            <v>December</v>
          </cell>
          <cell r="E117">
            <v>3</v>
          </cell>
        </row>
        <row r="125">
          <cell r="D125">
            <v>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C&gt;"/>
      <sheetName val="Asmptn_C"/>
      <sheetName val="Stmnts_C"/>
      <sheetName val="Dshbrd_C"/>
      <sheetName val="Rec"/>
      <sheetName val="PLV&gt;"/>
      <sheetName val="Asmptn_P"/>
      <sheetName val="Stmnts_P"/>
      <sheetName val="Dshbrd_P"/>
      <sheetName val="App&gt;"/>
      <sheetName val="Lookup"/>
      <sheetName val="Checks"/>
    </sheetNames>
    <sheetDataSet>
      <sheetData sheetId="0"/>
      <sheetData sheetId="1">
        <row r="32">
          <cell r="H32">
            <v>12</v>
          </cell>
        </row>
        <row r="36">
          <cell r="H36" t="str">
            <v>[A$r]</v>
          </cell>
        </row>
        <row r="37">
          <cell r="H37" t="str">
            <v>[A$n]</v>
          </cell>
        </row>
        <row r="80">
          <cell r="J80" t="b">
            <v>1</v>
          </cell>
        </row>
        <row r="81">
          <cell r="J81" t="b">
            <v>0</v>
          </cell>
        </row>
        <row r="82">
          <cell r="J82" t="b">
            <v>1</v>
          </cell>
        </row>
        <row r="83">
          <cell r="J83" t="b">
            <v>1</v>
          </cell>
        </row>
      </sheetData>
      <sheetData sheetId="2"/>
      <sheetData sheetId="3"/>
      <sheetData sheetId="4"/>
      <sheetData sheetId="5"/>
      <sheetData sheetId="6">
        <row r="62">
          <cell r="J62" t="b">
            <v>1</v>
          </cell>
        </row>
        <row r="63">
          <cell r="J63">
            <v>0.5</v>
          </cell>
        </row>
      </sheetData>
      <sheetData sheetId="7"/>
      <sheetData sheetId="8"/>
      <sheetData sheetId="9"/>
      <sheetData sheetId="10">
        <row r="67">
          <cell r="D67">
            <v>1</v>
          </cell>
        </row>
      </sheetData>
      <sheetData sheetId="11">
        <row r="11">
          <cell r="H11" t="str">
            <v>No Errors Found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V36"/>
  <sheetViews>
    <sheetView showGridLines="0" zoomScaleNormal="100" workbookViewId="0" xr3:uid="{AEA406A1-0E4B-5B11-9CD5-51D6E497D94C}">
      <selection activeCell="C19" sqref="C19"/>
    </sheetView>
  </sheetViews>
  <sheetFormatPr defaultColWidth="9.33203125" defaultRowHeight="11.25"/>
  <cols>
    <col min="2" max="3" width="5.83203125" customWidth="1"/>
    <col min="4" max="4" width="12.83203125" customWidth="1"/>
  </cols>
  <sheetData>
    <row r="5" spans="3:5" ht="11.25" customHeight="1"/>
    <row r="6" spans="3:5" ht="11.25" customHeight="1"/>
    <row r="7" spans="3:5" ht="11.25" customHeight="1"/>
    <row r="8" spans="3:5" ht="11.25" customHeight="1"/>
    <row r="9" spans="3:5" ht="11.25" customHeight="1"/>
    <row r="10" spans="3:5" ht="11.25" customHeight="1"/>
    <row r="11" spans="3:5" ht="11.25" customHeight="1"/>
    <row r="15" spans="3:5">
      <c r="C15" s="142" t="s">
        <v>0</v>
      </c>
      <c r="E15" s="27" t="s">
        <v>1</v>
      </c>
    </row>
    <row r="16" spans="3:5">
      <c r="C16" s="142" t="s">
        <v>2</v>
      </c>
      <c r="E16" s="27">
        <v>2.1</v>
      </c>
    </row>
    <row r="17" spans="3:22">
      <c r="C17" s="142" t="s">
        <v>3</v>
      </c>
      <c r="E17" s="27" t="s">
        <v>4</v>
      </c>
    </row>
    <row r="19" spans="3:22" ht="11.25" customHeight="1">
      <c r="C19" s="165" t="s">
        <v>5</v>
      </c>
      <c r="D19" s="165"/>
      <c r="E19" s="165"/>
      <c r="F19" s="165"/>
      <c r="G19" s="165"/>
      <c r="H19" s="165"/>
      <c r="I19" s="165"/>
      <c r="J19" s="165"/>
      <c r="K19" s="165"/>
      <c r="L19" s="165"/>
      <c r="M19" s="165"/>
      <c r="N19" s="165"/>
      <c r="O19" s="165"/>
      <c r="P19" s="165"/>
      <c r="Q19" s="165"/>
      <c r="R19" s="165"/>
      <c r="S19" s="165"/>
      <c r="T19" s="165"/>
      <c r="U19" s="165"/>
      <c r="V19" s="165"/>
    </row>
    <row r="20" spans="3:22">
      <c r="C20" s="165"/>
      <c r="D20" s="165"/>
      <c r="E20" s="165"/>
      <c r="F20" s="165"/>
      <c r="G20" s="165"/>
      <c r="H20" s="165"/>
      <c r="I20" s="165"/>
      <c r="J20" s="165"/>
      <c r="K20" s="165"/>
      <c r="L20" s="165"/>
      <c r="M20" s="165"/>
      <c r="N20" s="165"/>
      <c r="O20" s="165"/>
      <c r="P20" s="165"/>
      <c r="Q20" s="165"/>
      <c r="R20" s="165"/>
      <c r="S20" s="165"/>
      <c r="T20" s="165"/>
      <c r="U20" s="165"/>
      <c r="V20" s="165"/>
    </row>
    <row r="21" spans="3:22">
      <c r="C21" s="165"/>
      <c r="D21" s="165"/>
      <c r="E21" s="165"/>
      <c r="F21" s="165"/>
      <c r="G21" s="165"/>
      <c r="H21" s="165"/>
      <c r="I21" s="165"/>
      <c r="J21" s="165"/>
      <c r="K21" s="165"/>
      <c r="L21" s="165"/>
      <c r="M21" s="165"/>
      <c r="N21" s="165"/>
      <c r="O21" s="165"/>
      <c r="P21" s="165"/>
      <c r="Q21" s="165"/>
      <c r="R21" s="165"/>
      <c r="S21" s="165"/>
      <c r="T21" s="165"/>
      <c r="U21" s="165"/>
      <c r="V21" s="165"/>
    </row>
    <row r="22" spans="3:22">
      <c r="C22" s="165"/>
      <c r="D22" s="165"/>
      <c r="E22" s="165"/>
      <c r="F22" s="165"/>
      <c r="G22" s="165"/>
      <c r="H22" s="165"/>
      <c r="I22" s="165"/>
      <c r="J22" s="165"/>
      <c r="K22" s="165"/>
      <c r="L22" s="165"/>
      <c r="M22" s="165"/>
      <c r="N22" s="165"/>
      <c r="O22" s="165"/>
      <c r="P22" s="165"/>
      <c r="Q22" s="165"/>
      <c r="R22" s="165"/>
      <c r="S22" s="165"/>
      <c r="T22" s="165"/>
      <c r="U22" s="165"/>
      <c r="V22" s="165"/>
    </row>
    <row r="23" spans="3:22">
      <c r="C23" s="165"/>
      <c r="D23" s="165"/>
      <c r="E23" s="165"/>
      <c r="F23" s="165"/>
      <c r="G23" s="165"/>
      <c r="H23" s="165"/>
      <c r="I23" s="165"/>
      <c r="J23" s="165"/>
      <c r="K23" s="165"/>
      <c r="L23" s="165"/>
      <c r="M23" s="165"/>
      <c r="N23" s="165"/>
      <c r="O23" s="165"/>
      <c r="P23" s="165"/>
      <c r="Q23" s="165"/>
      <c r="R23" s="165"/>
      <c r="S23" s="165"/>
      <c r="T23" s="165"/>
      <c r="U23" s="165"/>
      <c r="V23" s="165"/>
    </row>
    <row r="24" spans="3:22">
      <c r="C24" s="165"/>
      <c r="D24" s="165"/>
      <c r="E24" s="165"/>
      <c r="F24" s="165"/>
      <c r="G24" s="165"/>
      <c r="H24" s="165"/>
      <c r="I24" s="165"/>
      <c r="J24" s="165"/>
      <c r="K24" s="165"/>
      <c r="L24" s="165"/>
      <c r="M24" s="165"/>
      <c r="N24" s="165"/>
      <c r="O24" s="165"/>
      <c r="P24" s="165"/>
      <c r="Q24" s="165"/>
      <c r="R24" s="165"/>
      <c r="S24" s="165"/>
      <c r="T24" s="165"/>
      <c r="U24" s="165"/>
      <c r="V24" s="165"/>
    </row>
    <row r="25" spans="3:22">
      <c r="C25" s="165"/>
      <c r="D25" s="165"/>
      <c r="E25" s="165"/>
      <c r="F25" s="165"/>
      <c r="G25" s="165"/>
      <c r="H25" s="165"/>
      <c r="I25" s="165"/>
      <c r="J25" s="165"/>
      <c r="K25" s="165"/>
      <c r="L25" s="165"/>
      <c r="M25" s="165"/>
      <c r="N25" s="165"/>
      <c r="O25" s="165"/>
      <c r="P25" s="165"/>
      <c r="Q25" s="165"/>
      <c r="R25" s="165"/>
      <c r="S25" s="165"/>
      <c r="T25" s="165"/>
      <c r="U25" s="165"/>
      <c r="V25" s="165"/>
    </row>
    <row r="27" spans="3:22">
      <c r="C27" s="25" t="s">
        <v>6</v>
      </c>
    </row>
    <row r="28" spans="3:22">
      <c r="C28" s="8" t="s">
        <v>7</v>
      </c>
    </row>
    <row r="30" spans="3:22">
      <c r="C30" s="130"/>
      <c r="D30" s="131"/>
      <c r="E30" s="131"/>
      <c r="F30" s="131"/>
      <c r="G30" s="131"/>
      <c r="H30" s="131"/>
      <c r="I30" s="131"/>
      <c r="J30" s="131"/>
      <c r="K30" s="131"/>
      <c r="L30" s="131"/>
      <c r="M30" s="132"/>
    </row>
    <row r="31" spans="3:22">
      <c r="C31" s="133"/>
      <c r="D31" s="117" t="s">
        <v>8</v>
      </c>
      <c r="F31" s="27" t="s">
        <v>9</v>
      </c>
      <c r="M31" s="134"/>
    </row>
    <row r="32" spans="3:22">
      <c r="C32" s="133"/>
      <c r="D32" s="37" t="s">
        <v>10</v>
      </c>
      <c r="F32" s="27" t="s">
        <v>11</v>
      </c>
      <c r="M32" s="134"/>
    </row>
    <row r="33" spans="3:13">
      <c r="C33" s="133"/>
      <c r="D33" s="135" t="s">
        <v>12</v>
      </c>
      <c r="F33" s="27" t="s">
        <v>13</v>
      </c>
      <c r="M33" s="134"/>
    </row>
    <row r="34" spans="3:13">
      <c r="C34" s="133"/>
      <c r="D34" s="136" t="s">
        <v>14</v>
      </c>
      <c r="F34" s="27" t="s">
        <v>15</v>
      </c>
      <c r="M34" s="134"/>
    </row>
    <row r="35" spans="3:13">
      <c r="C35" s="133"/>
      <c r="D35" s="137" t="s">
        <v>16</v>
      </c>
      <c r="F35" s="27" t="s">
        <v>17</v>
      </c>
      <c r="M35" s="134"/>
    </row>
    <row r="36" spans="3:13">
      <c r="C36" s="138"/>
      <c r="D36" s="2"/>
      <c r="E36" s="2"/>
      <c r="F36" s="2"/>
      <c r="G36" s="2"/>
      <c r="H36" s="2"/>
      <c r="I36" s="2"/>
      <c r="J36" s="2"/>
      <c r="K36" s="2"/>
      <c r="L36" s="2"/>
      <c r="M36" s="139"/>
    </row>
  </sheetData>
  <mergeCells count="1">
    <mergeCell ref="C19:V25"/>
  </mergeCells>
  <pageMargins left="0.7" right="0.7" top="0.75" bottom="0.75" header="0.3" footer="0.3"/>
  <pageSetup paperSize="9" orientation="portrait" r:id="rId1"/>
  <headerFooter>
    <oddFooter>&amp;L&amp;1#&amp;"Calibri"&amp;10Sensitivity: Internal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dimension ref="A1:XFD540"/>
  <sheetViews>
    <sheetView showGridLines="0" tabSelected="1" zoomScaleNormal="100" workbookViewId="0" xr3:uid="{958C4451-9541-5A59-BF78-D2F731DF1C81}">
      <selection activeCell="D116" sqref="D116"/>
    </sheetView>
  </sheetViews>
  <sheetFormatPr defaultColWidth="9.33203125" defaultRowHeight="11.25" outlineLevelRow="2"/>
  <cols>
    <col min="1" max="3" width="2.83203125" customWidth="1"/>
    <col min="4" max="4" width="25.83203125" customWidth="1"/>
    <col min="5" max="7" width="3.83203125" customWidth="1"/>
    <col min="8" max="8" width="10.83203125" customWidth="1"/>
    <col min="10" max="24" width="10.83203125" customWidth="1"/>
  </cols>
  <sheetData>
    <row r="1" spans="2:24" ht="19.5">
      <c r="B1" s="24" t="s">
        <v>18</v>
      </c>
    </row>
    <row r="2" spans="2:24">
      <c r="B2" s="43" t="str">
        <f ca="1">Title_Msg</f>
        <v>Errors Found</v>
      </c>
    </row>
    <row r="7" spans="2:24" s="2" customFormat="1">
      <c r="B7" s="31" t="str">
        <f>CHOOSE($H$31,Lookup!B7,Lookup!B26,Lookup!B45)</f>
        <v>Period Ending</v>
      </c>
      <c r="L7" s="42">
        <f>CHOOSE($H$31,Lookup!L7,Lookup!L26,Lookup!L45)</f>
        <v>41455</v>
      </c>
      <c r="M7" s="42">
        <f>CHOOSE($H$31,Lookup!M7,Lookup!M26,Lookup!M45)</f>
        <v>41820</v>
      </c>
      <c r="N7" s="42">
        <f>CHOOSE($H$31,Lookup!N7,Lookup!N26,Lookup!N45)</f>
        <v>42185</v>
      </c>
      <c r="O7" s="42">
        <f>CHOOSE($H$31,Lookup!O7,Lookup!O26,Lookup!O45)</f>
        <v>42551</v>
      </c>
      <c r="P7" s="42">
        <f>CHOOSE($H$31,Lookup!P7,Lookup!P26,Lookup!P45)</f>
        <v>42916</v>
      </c>
      <c r="Q7" s="42">
        <f>CHOOSE($H$31,Lookup!Q7,Lookup!Q26,Lookup!Q45)</f>
        <v>43281</v>
      </c>
      <c r="R7" s="42">
        <f>CHOOSE($H$31,Lookup!R7,Lookup!R26,Lookup!R45)</f>
        <v>43646</v>
      </c>
      <c r="S7" s="42">
        <f>CHOOSE($H$31,Lookup!S7,Lookup!S26,Lookup!S45)</f>
        <v>44012</v>
      </c>
      <c r="T7" s="42">
        <f>CHOOSE($H$31,Lookup!T7,Lookup!T26,Lookup!T45)</f>
        <v>44377</v>
      </c>
      <c r="U7" s="42">
        <f>CHOOSE($H$31,Lookup!U7,Lookup!U26,Lookup!U45)</f>
        <v>44742</v>
      </c>
      <c r="V7" s="42">
        <f>CHOOSE($H$31,Lookup!V7,Lookup!V26,Lookup!V45)</f>
        <v>45107</v>
      </c>
      <c r="W7" s="42">
        <f>CHOOSE($H$31,Lookup!W7,Lookup!W26,Lookup!W45)</f>
        <v>45473</v>
      </c>
      <c r="X7" s="42">
        <f>CHOOSE($H$31,Lookup!X7,Lookup!X26,Lookup!X45)</f>
        <v>45838</v>
      </c>
    </row>
    <row r="8" spans="2:24" hidden="1" outlineLevel="2">
      <c r="B8" s="28" t="str">
        <f>CHOOSE($H$31,Lookup!B8,Lookup!B27,Lookup!B46)</f>
        <v>Calender Quarter and Year</v>
      </c>
      <c r="L8" s="33" t="str">
        <f>CHOOSE($H$31,Lookup!L8,Lookup!L27,Lookup!L46)</f>
        <v xml:space="preserve">Q2 2013 </v>
      </c>
      <c r="M8" s="33" t="str">
        <f>CHOOSE($H$31,Lookup!M8,Lookup!M27,Lookup!M46)</f>
        <v xml:space="preserve">Q2 2014 </v>
      </c>
      <c r="N8" s="33" t="str">
        <f>CHOOSE($H$31,Lookup!N8,Lookup!N27,Lookup!N46)</f>
        <v xml:space="preserve">Q2 2015 </v>
      </c>
      <c r="O8" s="33" t="str">
        <f>CHOOSE($H$31,Lookup!O8,Lookup!O27,Lookup!O46)</f>
        <v xml:space="preserve">Q2 2016 </v>
      </c>
      <c r="P8" s="33" t="str">
        <f>CHOOSE($H$31,Lookup!P8,Lookup!P27,Lookup!P46)</f>
        <v xml:space="preserve">Q2 2017 </v>
      </c>
      <c r="Q8" s="33" t="str">
        <f>CHOOSE($H$31,Lookup!Q8,Lookup!Q27,Lookup!Q46)</f>
        <v xml:space="preserve">Q2 2018 </v>
      </c>
      <c r="R8" s="33" t="str">
        <f>CHOOSE($H$31,Lookup!R8,Lookup!R27,Lookup!R46)</f>
        <v xml:space="preserve">Q2 2019 </v>
      </c>
      <c r="S8" s="33" t="str">
        <f>CHOOSE($H$31,Lookup!S8,Lookup!S27,Lookup!S46)</f>
        <v xml:space="preserve">Q2 2020 </v>
      </c>
      <c r="T8" s="33" t="str">
        <f>CHOOSE($H$31,Lookup!T8,Lookup!T27,Lookup!T46)</f>
        <v xml:space="preserve">Q2 2021 </v>
      </c>
      <c r="U8" s="33" t="str">
        <f>CHOOSE($H$31,Lookup!U8,Lookup!U27,Lookup!U46)</f>
        <v xml:space="preserve">Q2 2022 </v>
      </c>
      <c r="V8" s="33" t="str">
        <f>CHOOSE($H$31,Lookup!V8,Lookup!V27,Lookup!V46)</f>
        <v xml:space="preserve">Q2 2023 </v>
      </c>
      <c r="W8" s="33" t="str">
        <f>CHOOSE($H$31,Lookup!W8,Lookup!W27,Lookup!W46)</f>
        <v xml:space="preserve">Q2 2024 </v>
      </c>
      <c r="X8" s="33" t="str">
        <f>CHOOSE($H$31,Lookup!X8,Lookup!X27,Lookup!X46)</f>
        <v xml:space="preserve">Q2 2025 </v>
      </c>
    </row>
    <row r="9" spans="2:24" hidden="1" outlineLevel="2">
      <c r="B9" s="28" t="str">
        <f>CHOOSE($H$31,Lookup!B9,Lookup!B28,Lookup!B47)</f>
        <v>Calender Year</v>
      </c>
      <c r="L9" s="33">
        <f>CHOOSE($H$31,Lookup!L9,Lookup!L28,Lookup!L47)</f>
        <v>2013</v>
      </c>
      <c r="M9" s="33">
        <f>CHOOSE($H$31,Lookup!M9,Lookup!M28,Lookup!M47)</f>
        <v>2014</v>
      </c>
      <c r="N9" s="33">
        <f>CHOOSE($H$31,Lookup!N9,Lookup!N28,Lookup!N47)</f>
        <v>2015</v>
      </c>
      <c r="O9" s="33">
        <f>CHOOSE($H$31,Lookup!O9,Lookup!O28,Lookup!O47)</f>
        <v>2016</v>
      </c>
      <c r="P9" s="33">
        <f>CHOOSE($H$31,Lookup!P9,Lookup!P28,Lookup!P47)</f>
        <v>2017</v>
      </c>
      <c r="Q9" s="33">
        <f>CHOOSE($H$31,Lookup!Q9,Lookup!Q28,Lookup!Q47)</f>
        <v>2018</v>
      </c>
      <c r="R9" s="33">
        <f>CHOOSE($H$31,Lookup!R9,Lookup!R28,Lookup!R47)</f>
        <v>2019</v>
      </c>
      <c r="S9" s="33">
        <f>CHOOSE($H$31,Lookup!S9,Lookup!S28,Lookup!S47)</f>
        <v>2020</v>
      </c>
      <c r="T9" s="33">
        <f>CHOOSE($H$31,Lookup!T9,Lookup!T28,Lookup!T47)</f>
        <v>2021</v>
      </c>
      <c r="U9" s="33">
        <f>CHOOSE($H$31,Lookup!U9,Lookup!U28,Lookup!U47)</f>
        <v>2022</v>
      </c>
      <c r="V9" s="33">
        <f>CHOOSE($H$31,Lookup!V9,Lookup!V28,Lookup!V47)</f>
        <v>2023</v>
      </c>
      <c r="W9" s="33">
        <f>CHOOSE($H$31,Lookup!W9,Lookup!W28,Lookup!W47)</f>
        <v>2024</v>
      </c>
      <c r="X9" s="33">
        <f>CHOOSE($H$31,Lookup!X9,Lookup!X28,Lookup!X47)</f>
        <v>2025</v>
      </c>
    </row>
    <row r="10" spans="2:24" hidden="1" outlineLevel="2">
      <c r="B10" s="28" t="str">
        <f>CHOOSE($H$31,Lookup!B10,Lookup!B29,Lookup!B48)</f>
        <v>Financial Year</v>
      </c>
      <c r="L10" s="33">
        <f>CHOOSE($H$31,Lookup!L10,Lookup!L29,Lookup!L48)</f>
        <v>2013</v>
      </c>
      <c r="M10" s="33">
        <f>CHOOSE($H$31,Lookup!M10,Lookup!M29,Lookup!M48)</f>
        <v>2014</v>
      </c>
      <c r="N10" s="33">
        <f>CHOOSE($H$31,Lookup!N10,Lookup!N29,Lookup!N48)</f>
        <v>2015</v>
      </c>
      <c r="O10" s="33">
        <f>CHOOSE($H$31,Lookup!O10,Lookup!O29,Lookup!O48)</f>
        <v>2016</v>
      </c>
      <c r="P10" s="33">
        <f>CHOOSE($H$31,Lookup!P10,Lookup!P29,Lookup!P48)</f>
        <v>2017</v>
      </c>
      <c r="Q10" s="33">
        <f>CHOOSE($H$31,Lookup!Q10,Lookup!Q29,Lookup!Q48)</f>
        <v>2018</v>
      </c>
      <c r="R10" s="33">
        <f>CHOOSE($H$31,Lookup!R10,Lookup!R29,Lookup!R48)</f>
        <v>2019</v>
      </c>
      <c r="S10" s="33">
        <f>CHOOSE($H$31,Lookup!S10,Lookup!S29,Lookup!S48)</f>
        <v>2020</v>
      </c>
      <c r="T10" s="33">
        <f>CHOOSE($H$31,Lookup!T10,Lookup!T29,Lookup!T48)</f>
        <v>2021</v>
      </c>
      <c r="U10" s="33">
        <f>CHOOSE($H$31,Lookup!U10,Lookup!U29,Lookup!U48)</f>
        <v>2022</v>
      </c>
      <c r="V10" s="33">
        <f>CHOOSE($H$31,Lookup!V10,Lookup!V29,Lookup!V48)</f>
        <v>2023</v>
      </c>
      <c r="W10" s="33">
        <f>CHOOSE($H$31,Lookup!W10,Lookup!W29,Lookup!W48)</f>
        <v>2024</v>
      </c>
      <c r="X10" s="33">
        <f>CHOOSE($H$31,Lookup!X10,Lookup!X29,Lookup!X48)</f>
        <v>2025</v>
      </c>
    </row>
    <row r="11" spans="2:24" hidden="1" outlineLevel="2">
      <c r="B11" s="28" t="str">
        <f>CHOOSE($H$31,Lookup!B11,Lookup!B30,Lookup!B49)</f>
        <v>Period Start Date (From Start of Day...)</v>
      </c>
      <c r="L11" s="34">
        <f>CHOOSE($H$31,Lookup!L11,Lookup!L30,Lookup!L49)</f>
        <v>41091</v>
      </c>
      <c r="M11" s="34">
        <f>CHOOSE($H$31,Lookup!M11,Lookup!M30,Lookup!M49)</f>
        <v>41456</v>
      </c>
      <c r="N11" s="34">
        <f>CHOOSE($H$31,Lookup!N11,Lookup!N30,Lookup!N49)</f>
        <v>41821</v>
      </c>
      <c r="O11" s="34">
        <f>CHOOSE($H$31,Lookup!O11,Lookup!O30,Lookup!O49)</f>
        <v>42186</v>
      </c>
      <c r="P11" s="34">
        <f>CHOOSE($H$31,Lookup!P11,Lookup!P30,Lookup!P49)</f>
        <v>42552</v>
      </c>
      <c r="Q11" s="34">
        <f>CHOOSE($H$31,Lookup!Q11,Lookup!Q30,Lookup!Q49)</f>
        <v>42917</v>
      </c>
      <c r="R11" s="34">
        <f>CHOOSE($H$31,Lookup!R11,Lookup!R30,Lookup!R49)</f>
        <v>43282</v>
      </c>
      <c r="S11" s="34">
        <f>CHOOSE($H$31,Lookup!S11,Lookup!S30,Lookup!S49)</f>
        <v>43647</v>
      </c>
      <c r="T11" s="34">
        <f>CHOOSE($H$31,Lookup!T11,Lookup!T30,Lookup!T49)</f>
        <v>44013</v>
      </c>
      <c r="U11" s="34">
        <f>CHOOSE($H$31,Lookup!U11,Lookup!U30,Lookup!U49)</f>
        <v>44378</v>
      </c>
      <c r="V11" s="34">
        <f>CHOOSE($H$31,Lookup!V11,Lookup!V30,Lookup!V49)</f>
        <v>44743</v>
      </c>
      <c r="W11" s="34">
        <f>CHOOSE($H$31,Lookup!W11,Lookup!W30,Lookup!W49)</f>
        <v>45108</v>
      </c>
      <c r="X11" s="34">
        <f>CHOOSE($H$31,Lookup!X11,Lookup!X30,Lookup!X49)</f>
        <v>45474</v>
      </c>
    </row>
    <row r="12" spans="2:24" hidden="1" outlineLevel="2">
      <c r="B12" s="28" t="str">
        <f>CHOOSE($H$31,Lookup!B12,Lookup!B31,Lookup!B50)</f>
        <v>Period End Date (Until End of Day...)</v>
      </c>
      <c r="L12" s="34">
        <f>CHOOSE($H$31,Lookup!L12,Lookup!L31,Lookup!L50)</f>
        <v>41455</v>
      </c>
      <c r="M12" s="34">
        <f>CHOOSE($H$31,Lookup!M12,Lookup!M31,Lookup!M50)</f>
        <v>41820</v>
      </c>
      <c r="N12" s="34">
        <f>CHOOSE($H$31,Lookup!N12,Lookup!N31,Lookup!N50)</f>
        <v>42185</v>
      </c>
      <c r="O12" s="34">
        <f>CHOOSE($H$31,Lookup!O12,Lookup!O31,Lookup!O50)</f>
        <v>42551</v>
      </c>
      <c r="P12" s="34">
        <f>CHOOSE($H$31,Lookup!P12,Lookup!P31,Lookup!P50)</f>
        <v>42916</v>
      </c>
      <c r="Q12" s="34">
        <f>CHOOSE($H$31,Lookup!Q12,Lookup!Q31,Lookup!Q50)</f>
        <v>43281</v>
      </c>
      <c r="R12" s="34">
        <f>CHOOSE($H$31,Lookup!R12,Lookup!R31,Lookup!R50)</f>
        <v>43646</v>
      </c>
      <c r="S12" s="34">
        <f>CHOOSE($H$31,Lookup!S12,Lookup!S31,Lookup!S50)</f>
        <v>44012</v>
      </c>
      <c r="T12" s="34">
        <f>CHOOSE($H$31,Lookup!T12,Lookup!T31,Lookup!T50)</f>
        <v>44377</v>
      </c>
      <c r="U12" s="34">
        <f>CHOOSE($H$31,Lookup!U12,Lookup!U31,Lookup!U50)</f>
        <v>44742</v>
      </c>
      <c r="V12" s="34">
        <f>CHOOSE($H$31,Lookup!V12,Lookup!V31,Lookup!V50)</f>
        <v>45107</v>
      </c>
      <c r="W12" s="34">
        <f>CHOOSE($H$31,Lookup!W12,Lookup!W31,Lookup!W50)</f>
        <v>45473</v>
      </c>
      <c r="X12" s="34">
        <f>CHOOSE($H$31,Lookup!X12,Lookup!X31,Lookup!X50)</f>
        <v>45838</v>
      </c>
    </row>
    <row r="13" spans="2:24" hidden="1" outlineLevel="2">
      <c r="B13" s="28" t="str">
        <f>CHOOSE($H$31,Lookup!B13,Lookup!B32,Lookup!B51)</f>
        <v>Months in Period</v>
      </c>
      <c r="L13" s="35">
        <f>CHOOSE($H$31,Lookup!L13,Lookup!L32,Lookup!L51)</f>
        <v>12</v>
      </c>
      <c r="M13" s="35">
        <f>CHOOSE($H$31,Lookup!M13,Lookup!M32,Lookup!M51)</f>
        <v>12</v>
      </c>
      <c r="N13" s="35">
        <f>CHOOSE($H$31,Lookup!N13,Lookup!N32,Lookup!N51)</f>
        <v>12</v>
      </c>
      <c r="O13" s="35">
        <f>CHOOSE($H$31,Lookup!O13,Lookup!O32,Lookup!O51)</f>
        <v>12</v>
      </c>
      <c r="P13" s="35">
        <f>CHOOSE($H$31,Lookup!P13,Lookup!P32,Lookup!P51)</f>
        <v>12</v>
      </c>
      <c r="Q13" s="35">
        <f>CHOOSE($H$31,Lookup!Q13,Lookup!Q32,Lookup!Q51)</f>
        <v>12</v>
      </c>
      <c r="R13" s="35">
        <f>CHOOSE($H$31,Lookup!R13,Lookup!R32,Lookup!R51)</f>
        <v>12</v>
      </c>
      <c r="S13" s="35">
        <f>CHOOSE($H$31,Lookup!S13,Lookup!S32,Lookup!S51)</f>
        <v>12</v>
      </c>
      <c r="T13" s="35">
        <f>CHOOSE($H$31,Lookup!T13,Lookup!T32,Lookup!T51)</f>
        <v>12</v>
      </c>
      <c r="U13" s="35">
        <f>CHOOSE($H$31,Lookup!U13,Lookup!U32,Lookup!U51)</f>
        <v>12</v>
      </c>
      <c r="V13" s="35">
        <f>CHOOSE($H$31,Lookup!V13,Lookup!V32,Lookup!V51)</f>
        <v>12</v>
      </c>
      <c r="W13" s="35">
        <f>CHOOSE($H$31,Lookup!W13,Lookup!W32,Lookup!W51)</f>
        <v>12</v>
      </c>
      <c r="X13" s="35">
        <f>CHOOSE($H$31,Lookup!X13,Lookup!X32,Lookup!X51)</f>
        <v>12</v>
      </c>
    </row>
    <row r="14" spans="2:24" hidden="1" outlineLevel="2">
      <c r="B14" s="28" t="str">
        <f>CHOOSE($H$31,Lookup!B14,Lookup!B33,Lookup!B52)</f>
        <v>Days in Period</v>
      </c>
      <c r="L14" s="35">
        <f>CHOOSE($H$31,Lookup!L14,Lookup!L33,Lookup!L52)</f>
        <v>365</v>
      </c>
      <c r="M14" s="35">
        <f>CHOOSE($H$31,Lookup!M14,Lookup!M33,Lookup!M52)</f>
        <v>365</v>
      </c>
      <c r="N14" s="35">
        <f>CHOOSE($H$31,Lookup!N14,Lookup!N33,Lookup!N52)</f>
        <v>365</v>
      </c>
      <c r="O14" s="35">
        <f>CHOOSE($H$31,Lookup!O14,Lookup!O33,Lookup!O52)</f>
        <v>366</v>
      </c>
      <c r="P14" s="35">
        <f>CHOOSE($H$31,Lookup!P14,Lookup!P33,Lookup!P52)</f>
        <v>365</v>
      </c>
      <c r="Q14" s="35">
        <f>CHOOSE($H$31,Lookup!Q14,Lookup!Q33,Lookup!Q52)</f>
        <v>365</v>
      </c>
      <c r="R14" s="35">
        <f>CHOOSE($H$31,Lookup!R14,Lookup!R33,Lookup!R52)</f>
        <v>365</v>
      </c>
      <c r="S14" s="35">
        <f>CHOOSE($H$31,Lookup!S14,Lookup!S33,Lookup!S52)</f>
        <v>366</v>
      </c>
      <c r="T14" s="35">
        <f>CHOOSE($H$31,Lookup!T14,Lookup!T33,Lookup!T52)</f>
        <v>365</v>
      </c>
      <c r="U14" s="35">
        <f>CHOOSE($H$31,Lookup!U14,Lookup!U33,Lookup!U52)</f>
        <v>365</v>
      </c>
      <c r="V14" s="35">
        <f>CHOOSE($H$31,Lookup!V14,Lookup!V33,Lookup!V52)</f>
        <v>365</v>
      </c>
      <c r="W14" s="35">
        <f>CHOOSE($H$31,Lookup!W14,Lookup!W33,Lookup!W52)</f>
        <v>366</v>
      </c>
      <c r="X14" s="35">
        <f>CHOOSE($H$31,Lookup!X14,Lookup!X33,Lookup!X52)</f>
        <v>365</v>
      </c>
    </row>
    <row r="15" spans="2:24" hidden="1" outlineLevel="2">
      <c r="B15" s="28" t="str">
        <f>CHOOSE($H$31,Lookup!B15,Lookup!B34,Lookup!B53)</f>
        <v>Fridays in Period</v>
      </c>
      <c r="L15" s="35">
        <f>CHOOSE($H$31,Lookup!L15,Lookup!L34,Lookup!L53)</f>
        <v>52</v>
      </c>
      <c r="M15" s="35">
        <f>CHOOSE($H$31,Lookup!M15,Lookup!M34,Lookup!M53)</f>
        <v>52</v>
      </c>
      <c r="N15" s="35">
        <f>CHOOSE($H$31,Lookup!N15,Lookup!N34,Lookup!N53)</f>
        <v>52</v>
      </c>
      <c r="O15" s="35">
        <f>CHOOSE($H$31,Lookup!O15,Lookup!O34,Lookup!O53)</f>
        <v>52</v>
      </c>
      <c r="P15" s="35">
        <f>CHOOSE($H$31,Lookup!P15,Lookup!P34,Lookup!P53)</f>
        <v>53</v>
      </c>
      <c r="Q15" s="35">
        <f>CHOOSE($H$31,Lookup!Q15,Lookup!Q34,Lookup!Q53)</f>
        <v>52</v>
      </c>
      <c r="R15" s="35">
        <f>CHOOSE($H$31,Lookup!R15,Lookup!R34,Lookup!R53)</f>
        <v>52</v>
      </c>
      <c r="S15" s="35">
        <f>CHOOSE($H$31,Lookup!S15,Lookup!S34,Lookup!S53)</f>
        <v>52</v>
      </c>
      <c r="T15" s="35">
        <f>CHOOSE($H$31,Lookup!T15,Lookup!T34,Lookup!T53)</f>
        <v>52</v>
      </c>
      <c r="U15" s="35">
        <f>CHOOSE($H$31,Lookup!U15,Lookup!U34,Lookup!U53)</f>
        <v>52</v>
      </c>
      <c r="V15" s="35">
        <f>CHOOSE($H$31,Lookup!V15,Lookup!V34,Lookup!V53)</f>
        <v>53</v>
      </c>
      <c r="W15" s="35">
        <f>CHOOSE($H$31,Lookup!W15,Lookup!W34,Lookup!W53)</f>
        <v>52</v>
      </c>
      <c r="X15" s="35">
        <f>CHOOSE($H$31,Lookup!X15,Lookup!X34,Lookup!X53)</f>
        <v>52</v>
      </c>
    </row>
    <row r="16" spans="2:24" hidden="1" outlineLevel="2">
      <c r="B16" s="28" t="str">
        <f>CHOOSE($H$31,Lookup!B16,Lookup!B35,Lookup!B54)</f>
        <v>Year Fraction</v>
      </c>
      <c r="L16" s="36">
        <f>CHOOSE($H$31,Lookup!L16,Lookup!L35,Lookup!L54)</f>
        <v>1</v>
      </c>
      <c r="M16" s="36">
        <f>CHOOSE($H$31,Lookup!M16,Lookup!M35,Lookup!M54)</f>
        <v>1</v>
      </c>
      <c r="N16" s="36">
        <f>CHOOSE($H$31,Lookup!N16,Lookup!N35,Lookup!N54)</f>
        <v>1</v>
      </c>
      <c r="O16" s="36">
        <f>CHOOSE($H$31,Lookup!O16,Lookup!O35,Lookup!O54)</f>
        <v>1</v>
      </c>
      <c r="P16" s="36">
        <f>CHOOSE($H$31,Lookup!P16,Lookup!P35,Lookup!P54)</f>
        <v>1</v>
      </c>
      <c r="Q16" s="36">
        <f>CHOOSE($H$31,Lookup!Q16,Lookup!Q35,Lookup!Q54)</f>
        <v>1</v>
      </c>
      <c r="R16" s="36">
        <f>CHOOSE($H$31,Lookup!R16,Lookup!R35,Lookup!R54)</f>
        <v>1</v>
      </c>
      <c r="S16" s="36">
        <f>CHOOSE($H$31,Lookup!S16,Lookup!S35,Lookup!S54)</f>
        <v>1</v>
      </c>
      <c r="T16" s="36">
        <f>CHOOSE($H$31,Lookup!T16,Lookup!T35,Lookup!T54)</f>
        <v>1</v>
      </c>
      <c r="U16" s="36">
        <f>CHOOSE($H$31,Lookup!U16,Lookup!U35,Lookup!U54)</f>
        <v>1</v>
      </c>
      <c r="V16" s="36">
        <f>CHOOSE($H$31,Lookup!V16,Lookup!V35,Lookup!V54)</f>
        <v>1</v>
      </c>
      <c r="W16" s="36">
        <f>CHOOSE($H$31,Lookup!W16,Lookup!W35,Lookup!W54)</f>
        <v>1</v>
      </c>
      <c r="X16" s="36">
        <f>CHOOSE($H$31,Lookup!X16,Lookup!X35,Lookup!X54)</f>
        <v>1</v>
      </c>
    </row>
    <row r="17" spans="2:24" hidden="1" outlineLevel="2">
      <c r="B17" s="28" t="str">
        <f>CHOOSE($H$31,Lookup!B17,Lookup!B36,Lookup!B55)</f>
        <v>Cumulative Year Fraction</v>
      </c>
      <c r="L17" s="36">
        <f>CHOOSE($H$31,Lookup!L17,Lookup!L36,Lookup!L55)</f>
        <v>1</v>
      </c>
      <c r="M17" s="36">
        <f>CHOOSE($H$31,Lookup!M17,Lookup!M36,Lookup!M55)</f>
        <v>2</v>
      </c>
      <c r="N17" s="36">
        <f>CHOOSE($H$31,Lookup!N17,Lookup!N36,Lookup!N55)</f>
        <v>3</v>
      </c>
      <c r="O17" s="36">
        <f>CHOOSE($H$31,Lookup!O17,Lookup!O36,Lookup!O55)</f>
        <v>4</v>
      </c>
      <c r="P17" s="36">
        <f>CHOOSE($H$31,Lookup!P17,Lookup!P36,Lookup!P55)</f>
        <v>5</v>
      </c>
      <c r="Q17" s="36">
        <f>CHOOSE($H$31,Lookup!Q17,Lookup!Q36,Lookup!Q55)</f>
        <v>6</v>
      </c>
      <c r="R17" s="36">
        <f>CHOOSE($H$31,Lookup!R17,Lookup!R36,Lookup!R55)</f>
        <v>7</v>
      </c>
      <c r="S17" s="36">
        <f>CHOOSE($H$31,Lookup!S17,Lookup!S36,Lookup!S55)</f>
        <v>8</v>
      </c>
      <c r="T17" s="36">
        <f>CHOOSE($H$31,Lookup!T17,Lookup!T36,Lookup!T55)</f>
        <v>9</v>
      </c>
      <c r="U17" s="36">
        <f>CHOOSE($H$31,Lookup!U17,Lookup!U36,Lookup!U55)</f>
        <v>10</v>
      </c>
      <c r="V17" s="36">
        <f>CHOOSE($H$31,Lookup!V17,Lookup!V36,Lookup!V55)</f>
        <v>11</v>
      </c>
      <c r="W17" s="36">
        <f>CHOOSE($H$31,Lookup!W17,Lookup!W36,Lookup!W55)</f>
        <v>12</v>
      </c>
      <c r="X17" s="36">
        <f>CHOOSE($H$31,Lookup!X17,Lookup!X36,Lookup!X55)</f>
        <v>13</v>
      </c>
    </row>
    <row r="18" spans="2:24" hidden="1" outlineLevel="2">
      <c r="B18" s="28" t="str">
        <f>CHOOSE($H$31,Lookup!B18,Lookup!B37,Lookup!B56)</f>
        <v>Days in Calender Year</v>
      </c>
      <c r="L18" s="35">
        <f>CHOOSE($H$31,Lookup!L18,Lookup!L37,Lookup!L56)</f>
        <v>365</v>
      </c>
      <c r="M18" s="35">
        <f>CHOOSE($H$31,Lookup!M18,Lookup!M37,Lookup!M56)</f>
        <v>365</v>
      </c>
      <c r="N18" s="35">
        <f>CHOOSE($H$31,Lookup!N18,Lookup!N37,Lookup!N56)</f>
        <v>365</v>
      </c>
      <c r="O18" s="35">
        <f>CHOOSE($H$31,Lookup!O18,Lookup!O37,Lookup!O56)</f>
        <v>366</v>
      </c>
      <c r="P18" s="35">
        <f>CHOOSE($H$31,Lookup!P18,Lookup!P37,Lookup!P56)</f>
        <v>365</v>
      </c>
      <c r="Q18" s="35">
        <f>CHOOSE($H$31,Lookup!Q18,Lookup!Q37,Lookup!Q56)</f>
        <v>365</v>
      </c>
      <c r="R18" s="35">
        <f>CHOOSE($H$31,Lookup!R18,Lookup!R37,Lookup!R56)</f>
        <v>365</v>
      </c>
      <c r="S18" s="35">
        <f>CHOOSE($H$31,Lookup!S18,Lookup!S37,Lookup!S56)</f>
        <v>366</v>
      </c>
      <c r="T18" s="35">
        <f>CHOOSE($H$31,Lookup!T18,Lookup!T37,Lookup!T56)</f>
        <v>365</v>
      </c>
      <c r="U18" s="35">
        <f>CHOOSE($H$31,Lookup!U18,Lookup!U37,Lookup!U56)</f>
        <v>365</v>
      </c>
      <c r="V18" s="35">
        <f>CHOOSE($H$31,Lookup!V18,Lookup!V37,Lookup!V56)</f>
        <v>365</v>
      </c>
      <c r="W18" s="35">
        <f>CHOOSE($H$31,Lookup!W18,Lookup!W37,Lookup!W56)</f>
        <v>366</v>
      </c>
      <c r="X18" s="35">
        <f>CHOOSE($H$31,Lookup!X18,Lookup!X37,Lookup!X56)</f>
        <v>365</v>
      </c>
    </row>
    <row r="19" spans="2:24" hidden="1" outlineLevel="2">
      <c r="B19" s="28" t="str">
        <f>CHOOSE($H$31,Lookup!B19,Lookup!B38,Lookup!B57)</f>
        <v>Days in Financial Year</v>
      </c>
      <c r="L19" s="35">
        <f>CHOOSE($H$31,Lookup!L19,Lookup!L38,Lookup!L57)</f>
        <v>365</v>
      </c>
      <c r="M19" s="35">
        <f>CHOOSE($H$31,Lookup!M19,Lookup!M38,Lookup!M57)</f>
        <v>365</v>
      </c>
      <c r="N19" s="35">
        <f>CHOOSE($H$31,Lookup!N19,Lookup!N38,Lookup!N57)</f>
        <v>366</v>
      </c>
      <c r="O19" s="35">
        <f>CHOOSE($H$31,Lookup!O19,Lookup!O38,Lookup!O57)</f>
        <v>365</v>
      </c>
      <c r="P19" s="35">
        <f>CHOOSE($H$31,Lookup!P19,Lookup!P38,Lookup!P57)</f>
        <v>365</v>
      </c>
      <c r="Q19" s="35">
        <f>CHOOSE($H$31,Lookup!Q19,Lookup!Q38,Lookup!Q57)</f>
        <v>365</v>
      </c>
      <c r="R19" s="35">
        <f>CHOOSE($H$31,Lookup!R19,Lookup!R38,Lookup!R57)</f>
        <v>366</v>
      </c>
      <c r="S19" s="35">
        <f>CHOOSE($H$31,Lookup!S19,Lookup!S38,Lookup!S57)</f>
        <v>365</v>
      </c>
      <c r="T19" s="35">
        <f>CHOOSE($H$31,Lookup!T19,Lookup!T38,Lookup!T57)</f>
        <v>365</v>
      </c>
      <c r="U19" s="35">
        <f>CHOOSE($H$31,Lookup!U19,Lookup!U38,Lookup!U57)</f>
        <v>365</v>
      </c>
      <c r="V19" s="35">
        <f>CHOOSE($H$31,Lookup!V19,Lookup!V38,Lookup!V57)</f>
        <v>366</v>
      </c>
      <c r="W19" s="35">
        <f>CHOOSE($H$31,Lookup!W19,Lookup!W38,Lookup!W57)</f>
        <v>365</v>
      </c>
      <c r="X19" s="35">
        <f>CHOOSE($H$31,Lookup!X19,Lookup!X38,Lookup!X57)</f>
        <v>365</v>
      </c>
    </row>
    <row r="20" spans="2:24" hidden="1" outlineLevel="2">
      <c r="B20" s="28" t="str">
        <f>CHOOSE($H$31,Lookup!B20,Lookup!B39,Lookup!B58)</f>
        <v>Counter</v>
      </c>
      <c r="L20" s="35">
        <f>CHOOSE($H$31,Lookup!L20,Lookup!L39,Lookup!L58)</f>
        <v>1</v>
      </c>
      <c r="M20" s="35">
        <f>CHOOSE($H$31,Lookup!M20,Lookup!M39,Lookup!M58)</f>
        <v>2</v>
      </c>
      <c r="N20" s="35">
        <f>CHOOSE($H$31,Lookup!N20,Lookup!N39,Lookup!N58)</f>
        <v>3</v>
      </c>
      <c r="O20" s="35">
        <f>CHOOSE($H$31,Lookup!O20,Lookup!O39,Lookup!O58)</f>
        <v>4</v>
      </c>
      <c r="P20" s="35">
        <f>CHOOSE($H$31,Lookup!P20,Lookup!P39,Lookup!P58)</f>
        <v>5</v>
      </c>
      <c r="Q20" s="35">
        <f>CHOOSE($H$31,Lookup!Q20,Lookup!Q39,Lookup!Q58)</f>
        <v>6</v>
      </c>
      <c r="R20" s="35">
        <f>CHOOSE($H$31,Lookup!R20,Lookup!R39,Lookup!R58)</f>
        <v>7</v>
      </c>
      <c r="S20" s="35">
        <f>CHOOSE($H$31,Lookup!S20,Lookup!S39,Lookup!S58)</f>
        <v>8</v>
      </c>
      <c r="T20" s="35">
        <f>CHOOSE($H$31,Lookup!T20,Lookup!T39,Lookup!T58)</f>
        <v>9</v>
      </c>
      <c r="U20" s="35">
        <f>CHOOSE($H$31,Lookup!U20,Lookup!U39,Lookup!U58)</f>
        <v>10</v>
      </c>
      <c r="V20" s="35">
        <f>CHOOSE($H$31,Lookup!V20,Lookup!V39,Lookup!V58)</f>
        <v>11</v>
      </c>
      <c r="W20" s="35">
        <f>CHOOSE($H$31,Lookup!W20,Lookup!W39,Lookup!W58)</f>
        <v>12</v>
      </c>
      <c r="X20" s="35">
        <f>CHOOSE($H$31,Lookup!X20,Lookup!X39,Lookup!X58)</f>
        <v>13</v>
      </c>
    </row>
    <row r="21" spans="2:24" hidden="1" outlineLevel="2">
      <c r="B21" s="28" t="str">
        <f>CHOOSE($H$31,Lookup!B21,Lookup!B40,Lookup!B59)</f>
        <v>Quarter Counter</v>
      </c>
      <c r="L21" s="35">
        <f>CHOOSE($H$31,Lookup!L21,Lookup!L40,Lookup!L59)</f>
        <v>0</v>
      </c>
      <c r="M21" s="35">
        <f>CHOOSE($H$31,Lookup!M21,Lookup!M40,Lookup!M59)</f>
        <v>0</v>
      </c>
      <c r="N21" s="35">
        <f>CHOOSE($H$31,Lookup!N21,Lookup!N40,Lookup!N59)</f>
        <v>0</v>
      </c>
      <c r="O21" s="35">
        <f>CHOOSE($H$31,Lookup!O21,Lookup!O40,Lookup!O59)</f>
        <v>0</v>
      </c>
      <c r="P21" s="35">
        <f>CHOOSE($H$31,Lookup!P21,Lookup!P40,Lookup!P59)</f>
        <v>0</v>
      </c>
      <c r="Q21" s="35">
        <f>CHOOSE($H$31,Lookup!Q21,Lookup!Q40,Lookup!Q59)</f>
        <v>0</v>
      </c>
      <c r="R21" s="35">
        <f>CHOOSE($H$31,Lookup!R21,Lookup!R40,Lookup!R59)</f>
        <v>0</v>
      </c>
      <c r="S21" s="35">
        <f>CHOOSE($H$31,Lookup!S21,Lookup!S40,Lookup!S59)</f>
        <v>0</v>
      </c>
      <c r="T21" s="35">
        <f>CHOOSE($H$31,Lookup!T21,Lookup!T40,Lookup!T59)</f>
        <v>0</v>
      </c>
      <c r="U21" s="35">
        <f>CHOOSE($H$31,Lookup!U21,Lookup!U40,Lookup!U59)</f>
        <v>0</v>
      </c>
      <c r="V21" s="35">
        <f>CHOOSE($H$31,Lookup!V21,Lookup!V40,Lookup!V59)</f>
        <v>0</v>
      </c>
      <c r="W21" s="35">
        <f>CHOOSE($H$31,Lookup!W21,Lookup!W40,Lookup!W59)</f>
        <v>0</v>
      </c>
      <c r="X21" s="35">
        <f>CHOOSE($H$31,Lookup!X21,Lookup!X40,Lookup!X59)</f>
        <v>0</v>
      </c>
    </row>
    <row r="22" spans="2:24" hidden="1" outlineLevel="2">
      <c r="B22" s="28" t="str">
        <f>CHOOSE($H$31,Lookup!B22,Lookup!B41,Lookup!B60)</f>
        <v>Calender Year Counter</v>
      </c>
      <c r="L22" s="35">
        <f>CHOOSE($H$31,Lookup!L22,Lookup!L41,Lookup!L60)</f>
        <v>0</v>
      </c>
      <c r="M22" s="35">
        <f>CHOOSE($H$31,Lookup!M22,Lookup!M41,Lookup!M60)</f>
        <v>0</v>
      </c>
      <c r="N22" s="35">
        <f>CHOOSE($H$31,Lookup!N22,Lookup!N41,Lookup!N60)</f>
        <v>0</v>
      </c>
      <c r="O22" s="35">
        <f>CHOOSE($H$31,Lookup!O22,Lookup!O41,Lookup!O60)</f>
        <v>0</v>
      </c>
      <c r="P22" s="35">
        <f>CHOOSE($H$31,Lookup!P22,Lookup!P41,Lookup!P60)</f>
        <v>0</v>
      </c>
      <c r="Q22" s="35">
        <f>CHOOSE($H$31,Lookup!Q22,Lookup!Q41,Lookup!Q60)</f>
        <v>0</v>
      </c>
      <c r="R22" s="35">
        <f>CHOOSE($H$31,Lookup!R22,Lookup!R41,Lookup!R60)</f>
        <v>0</v>
      </c>
      <c r="S22" s="35">
        <f>CHOOSE($H$31,Lookup!S22,Lookup!S41,Lookup!S60)</f>
        <v>0</v>
      </c>
      <c r="T22" s="35">
        <f>CHOOSE($H$31,Lookup!T22,Lookup!T41,Lookup!T60)</f>
        <v>0</v>
      </c>
      <c r="U22" s="35">
        <f>CHOOSE($H$31,Lookup!U22,Lookup!U41,Lookup!U60)</f>
        <v>0</v>
      </c>
      <c r="V22" s="35">
        <f>CHOOSE($H$31,Lookup!V22,Lookup!V41,Lookup!V60)</f>
        <v>0</v>
      </c>
      <c r="W22" s="35">
        <f>CHOOSE($H$31,Lookup!W22,Lookup!W41,Lookup!W60)</f>
        <v>0</v>
      </c>
      <c r="X22" s="35">
        <f>CHOOSE($H$31,Lookup!X22,Lookup!X41,Lookup!X60)</f>
        <v>0</v>
      </c>
    </row>
    <row r="23" spans="2:24" hidden="1" outlineLevel="2">
      <c r="B23" s="28" t="str">
        <f>CHOOSE($H$31,Lookup!B23,Lookup!B42,Lookup!B61)</f>
        <v>Financial Year Counter</v>
      </c>
      <c r="L23" s="35">
        <f>CHOOSE($H$31,Lookup!L23,Lookup!L42,Lookup!L61)</f>
        <v>1</v>
      </c>
      <c r="M23" s="35">
        <f>CHOOSE($H$31,Lookup!M23,Lookup!M42,Lookup!M61)</f>
        <v>2</v>
      </c>
      <c r="N23" s="35">
        <f>CHOOSE($H$31,Lookup!N23,Lookup!N42,Lookup!N61)</f>
        <v>3</v>
      </c>
      <c r="O23" s="35">
        <f>CHOOSE($H$31,Lookup!O23,Lookup!O42,Lookup!O61)</f>
        <v>4</v>
      </c>
      <c r="P23" s="35">
        <f>CHOOSE($H$31,Lookup!P23,Lookup!P42,Lookup!P61)</f>
        <v>5</v>
      </c>
      <c r="Q23" s="35">
        <f>CHOOSE($H$31,Lookup!Q23,Lookup!Q42,Lookup!Q61)</f>
        <v>6</v>
      </c>
      <c r="R23" s="35">
        <f>CHOOSE($H$31,Lookup!R23,Lookup!R42,Lookup!R61)</f>
        <v>7</v>
      </c>
      <c r="S23" s="35">
        <f>CHOOSE($H$31,Lookup!S23,Lookup!S42,Lookup!S61)</f>
        <v>8</v>
      </c>
      <c r="T23" s="35">
        <f>CHOOSE($H$31,Lookup!T23,Lookup!T42,Lookup!T61)</f>
        <v>9</v>
      </c>
      <c r="U23" s="35">
        <f>CHOOSE($H$31,Lookup!U23,Lookup!U42,Lookup!U61)</f>
        <v>10</v>
      </c>
      <c r="V23" s="35">
        <f>CHOOSE($H$31,Lookup!V23,Lookup!V42,Lookup!V61)</f>
        <v>11</v>
      </c>
      <c r="W23" s="35">
        <f>CHOOSE($H$31,Lookup!W23,Lookup!W42,Lookup!W61)</f>
        <v>12</v>
      </c>
      <c r="X23" s="35">
        <f>CHOOSE($H$31,Lookup!X23,Lookup!X42,Lookup!X61)</f>
        <v>13</v>
      </c>
    </row>
    <row r="24" spans="2:24" s="2" customFormat="1" hidden="1" outlineLevel="2">
      <c r="B24" s="41" t="str">
        <f>CHOOSE($H$31,Lookup!B24,Lookup!B43,Lookup!B62)</f>
        <v>Dashboard Counter</v>
      </c>
      <c r="L24" s="103">
        <f>CHOOSE($H$31,Lookup!L24,Lookup!L43,Lookup!L62)</f>
        <v>1</v>
      </c>
      <c r="M24" s="103">
        <f>CHOOSE($H$31,Lookup!M24,Lookup!M43,Lookup!M62)</f>
        <v>2</v>
      </c>
      <c r="N24" s="103">
        <f>CHOOSE($H$31,Lookup!N24,Lookup!N43,Lookup!N62)</f>
        <v>3</v>
      </c>
      <c r="O24" s="103">
        <f>CHOOSE($H$31,Lookup!O24,Lookup!O43,Lookup!O62)</f>
        <v>4</v>
      </c>
      <c r="P24" s="103">
        <f>CHOOSE($H$31,Lookup!P24,Lookup!P43,Lookup!P62)</f>
        <v>5</v>
      </c>
      <c r="Q24" s="103">
        <f>CHOOSE($H$31,Lookup!Q24,Lookup!Q43,Lookup!Q62)</f>
        <v>6</v>
      </c>
      <c r="R24" s="103">
        <f>CHOOSE($H$31,Lookup!R24,Lookup!R43,Lookup!R62)</f>
        <v>7</v>
      </c>
      <c r="S24" s="103">
        <f>CHOOSE($H$31,Lookup!S24,Lookup!S43,Lookup!S62)</f>
        <v>8</v>
      </c>
      <c r="T24" s="103">
        <f>CHOOSE($H$31,Lookup!T24,Lookup!T43,Lookup!T62)</f>
        <v>9</v>
      </c>
      <c r="U24" s="103">
        <f>CHOOSE($H$31,Lookup!U24,Lookup!U43,Lookup!U62)</f>
        <v>10</v>
      </c>
      <c r="V24" s="103">
        <f>CHOOSE($H$31,Lookup!V24,Lookup!V43,Lookup!V62)</f>
        <v>11</v>
      </c>
      <c r="W24" s="103">
        <f>CHOOSE($H$31,Lookup!W24,Lookup!W43,Lookup!W62)</f>
        <v>12</v>
      </c>
      <c r="X24" s="103">
        <f>CHOOSE($H$31,Lookup!X24,Lookup!X43,Lookup!X62)</f>
        <v>13</v>
      </c>
    </row>
    <row r="25" spans="2:24" collapsed="1"/>
    <row r="26" spans="2:24" s="7" customFormat="1" ht="12.75">
      <c r="B26" s="7" t="s">
        <v>19</v>
      </c>
    </row>
    <row r="27" spans="2:24" ht="6.75" customHeight="1"/>
    <row r="28" spans="2:24" s="29" customFormat="1" ht="12">
      <c r="C28" s="29" t="s">
        <v>20</v>
      </c>
    </row>
    <row r="29" spans="2:24" hidden="1" outlineLevel="1">
      <c r="D29" s="6"/>
    </row>
    <row r="30" spans="2:24" ht="4.5" hidden="1" customHeight="1" outlineLevel="1">
      <c r="D30" s="6"/>
    </row>
    <row r="31" spans="2:24" hidden="1" outlineLevel="1">
      <c r="C31" s="3"/>
      <c r="D31" s="27" t="s">
        <v>21</v>
      </c>
      <c r="E31" s="3"/>
      <c r="F31" s="4"/>
      <c r="H31" s="46">
        <v>3</v>
      </c>
      <c r="I31" s="54" t="str">
        <f>INDEX(Period_Length,H31)</f>
        <v>Yearly</v>
      </c>
    </row>
    <row r="32" spans="2:24" hidden="1" outlineLevel="1">
      <c r="D32" s="27" t="s">
        <v>22</v>
      </c>
      <c r="H32" s="102">
        <f>CHOOSE(H31,12,3,1)</f>
        <v>1</v>
      </c>
    </row>
    <row r="33" spans="2:24" hidden="1" outlineLevel="1">
      <c r="C33" s="3"/>
      <c r="D33" s="27" t="s">
        <v>23</v>
      </c>
      <c r="E33" s="3"/>
      <c r="F33" s="4"/>
      <c r="H33" s="10">
        <v>41091</v>
      </c>
      <c r="I33" s="5"/>
    </row>
    <row r="34" spans="2:24" hidden="1" outlineLevel="1">
      <c r="C34" s="3"/>
      <c r="D34" s="27" t="s">
        <v>24</v>
      </c>
      <c r="E34" s="3"/>
      <c r="F34" s="4"/>
      <c r="H34" s="46">
        <v>6</v>
      </c>
      <c r="I34" s="55" t="str">
        <f>INDEX(Calander_Months,H34)</f>
        <v>June</v>
      </c>
    </row>
    <row r="35" spans="2:24" hidden="1" outlineLevel="1">
      <c r="C35" s="3"/>
      <c r="D35" s="27" t="s">
        <v>25</v>
      </c>
      <c r="E35" s="3"/>
      <c r="F35" s="4"/>
      <c r="H35" s="102">
        <f>IF(H34=12,1,H34+1)</f>
        <v>7</v>
      </c>
      <c r="I35" s="55"/>
    </row>
    <row r="36" spans="2:24" hidden="1" outlineLevel="1">
      <c r="C36" s="3"/>
      <c r="D36" s="27" t="s">
        <v>26</v>
      </c>
      <c r="E36" s="3"/>
      <c r="F36" s="4"/>
      <c r="H36" s="117" t="s">
        <v>27</v>
      </c>
      <c r="I36" s="55"/>
    </row>
    <row r="37" spans="2:24" collapsed="1"/>
    <row r="38" spans="2:24" s="7" customFormat="1" ht="12.75">
      <c r="B38" s="7" t="s">
        <v>28</v>
      </c>
    </row>
    <row r="39" spans="2:24" ht="4.5" customHeight="1"/>
    <row r="40" spans="2:24" s="29" customFormat="1" ht="12">
      <c r="C40" s="29" t="s">
        <v>29</v>
      </c>
    </row>
    <row r="41" spans="2:24" hidden="1" outlineLevel="1"/>
    <row r="42" spans="2:24" ht="4.5" hidden="1" customHeight="1" outlineLevel="1"/>
    <row r="43" spans="2:24" hidden="1" outlineLevel="1">
      <c r="D43" s="25" t="s">
        <v>30</v>
      </c>
      <c r="K43" s="37" t="s">
        <v>31</v>
      </c>
    </row>
    <row r="44" spans="2:24" ht="12" hidden="1" customHeight="1" outlineLevel="1">
      <c r="D44" s="143" t="s">
        <v>32</v>
      </c>
      <c r="K44" s="19">
        <f>SUM(L44:X44)</f>
        <v>377.64275338189458</v>
      </c>
      <c r="L44" s="16">
        <v>20</v>
      </c>
      <c r="M44" s="12">
        <v>21.200000000000003</v>
      </c>
      <c r="N44" s="12">
        <v>22.472000000000005</v>
      </c>
      <c r="O44" s="12">
        <v>23.820320000000006</v>
      </c>
      <c r="P44" s="12">
        <v>25.249539200000008</v>
      </c>
      <c r="Q44" s="12">
        <v>26.764511552000009</v>
      </c>
      <c r="R44" s="12">
        <v>28.370382245120012</v>
      </c>
      <c r="S44" s="12">
        <v>30.072605179827214</v>
      </c>
      <c r="T44" s="12">
        <v>31.87696149061685</v>
      </c>
      <c r="U44" s="12">
        <v>33.789579180053863</v>
      </c>
      <c r="V44" s="12">
        <v>35.816953930857096</v>
      </c>
      <c r="W44" s="12">
        <v>37.96597116670852</v>
      </c>
      <c r="X44" s="12">
        <v>40.243929436711035</v>
      </c>
    </row>
    <row r="45" spans="2:24" ht="12" hidden="1" customHeight="1" outlineLevel="1">
      <c r="D45" s="143" t="s">
        <v>33</v>
      </c>
      <c r="K45" s="19">
        <f>SUM(L45:X45)</f>
        <v>402.81285719659479</v>
      </c>
      <c r="L45" s="16">
        <v>20</v>
      </c>
      <c r="M45" s="12">
        <v>21.400000000000002</v>
      </c>
      <c r="N45" s="12">
        <v>22.898000000000003</v>
      </c>
      <c r="O45" s="12">
        <v>24.500860000000007</v>
      </c>
      <c r="P45" s="12">
        <v>26.21592020000001</v>
      </c>
      <c r="Q45" s="12">
        <v>28.051034614000013</v>
      </c>
      <c r="R45" s="12">
        <v>30.014607036980017</v>
      </c>
      <c r="S45" s="12">
        <v>32.115629529568622</v>
      </c>
      <c r="T45" s="12">
        <v>34.36372359663843</v>
      </c>
      <c r="U45" s="12">
        <v>36.769184248403121</v>
      </c>
      <c r="V45" s="12">
        <v>39.343027145791339</v>
      </c>
      <c r="W45" s="12">
        <v>42.097039045996738</v>
      </c>
      <c r="X45" s="12">
        <v>45.043831779216511</v>
      </c>
    </row>
    <row r="46" spans="2:24" ht="12" hidden="1" customHeight="1" outlineLevel="1">
      <c r="D46" s="143" t="s">
        <v>34</v>
      </c>
      <c r="K46" s="19">
        <f>SUM(L46:X46)</f>
        <v>429.9059315411244</v>
      </c>
      <c r="L46" s="16">
        <v>20</v>
      </c>
      <c r="M46" s="12">
        <v>21.6</v>
      </c>
      <c r="N46" s="12">
        <v>23.328000000000003</v>
      </c>
      <c r="O46" s="12">
        <v>25.194240000000004</v>
      </c>
      <c r="P46" s="12">
        <v>27.209779200000007</v>
      </c>
      <c r="Q46" s="12">
        <v>29.386561536000009</v>
      </c>
      <c r="R46" s="12">
        <v>31.737486458880014</v>
      </c>
      <c r="S46" s="12">
        <v>34.276485375590418</v>
      </c>
      <c r="T46" s="12">
        <v>37.018604205637658</v>
      </c>
      <c r="U46" s="12">
        <v>39.98009254208867</v>
      </c>
      <c r="V46" s="12">
        <v>43.178499945455769</v>
      </c>
      <c r="W46" s="12">
        <v>46.632779941092231</v>
      </c>
      <c r="X46" s="12">
        <v>50.363402336379615</v>
      </c>
    </row>
    <row r="47" spans="2:24" ht="12" hidden="1" customHeight="1" outlineLevel="1">
      <c r="D47" s="143" t="s">
        <v>35</v>
      </c>
      <c r="K47" s="19">
        <f>SUM(L47:X47)</f>
        <v>459.06769158741241</v>
      </c>
      <c r="L47" s="16">
        <v>20</v>
      </c>
      <c r="M47" s="12">
        <v>21.8</v>
      </c>
      <c r="N47" s="12">
        <v>23.762000000000004</v>
      </c>
      <c r="O47" s="12">
        <v>25.900580000000005</v>
      </c>
      <c r="P47" s="12">
        <v>28.231632200000007</v>
      </c>
      <c r="Q47" s="12">
        <v>30.772479098000009</v>
      </c>
      <c r="R47" s="12">
        <v>33.542002216820009</v>
      </c>
      <c r="S47" s="12">
        <v>36.560782416333815</v>
      </c>
      <c r="T47" s="12">
        <v>39.851252833803862</v>
      </c>
      <c r="U47" s="12">
        <v>43.437865588846215</v>
      </c>
      <c r="V47" s="12">
        <v>47.34727349184238</v>
      </c>
      <c r="W47" s="12">
        <v>51.608528106108196</v>
      </c>
      <c r="X47" s="12">
        <v>56.253295635657935</v>
      </c>
    </row>
    <row r="48" spans="2:24" ht="12" hidden="1" customHeight="1" outlineLevel="1">
      <c r="D48" s="143" t="s">
        <v>36</v>
      </c>
      <c r="K48" s="20">
        <f>SUM(L48:X48)</f>
        <v>490.45424287862022</v>
      </c>
      <c r="L48" s="16">
        <v>20</v>
      </c>
      <c r="M48" s="12">
        <v>22</v>
      </c>
      <c r="N48" s="12">
        <v>24.200000000000003</v>
      </c>
      <c r="O48" s="12">
        <v>26.620000000000005</v>
      </c>
      <c r="P48" s="12">
        <v>29.282000000000007</v>
      </c>
      <c r="Q48" s="12">
        <v>32.210200000000007</v>
      </c>
      <c r="R48" s="12">
        <v>35.43122000000001</v>
      </c>
      <c r="S48" s="12">
        <v>38.974342000000014</v>
      </c>
      <c r="T48" s="12">
        <v>42.871776200000021</v>
      </c>
      <c r="U48" s="12">
        <v>47.158953820000029</v>
      </c>
      <c r="V48" s="12">
        <v>51.874849202000036</v>
      </c>
      <c r="W48" s="12">
        <v>57.062334122200042</v>
      </c>
      <c r="X48" s="12">
        <v>62.76856753442005</v>
      </c>
    </row>
    <row r="49" spans="3:24" hidden="1" outlineLevel="1">
      <c r="D49" s="27" t="s">
        <v>37</v>
      </c>
      <c r="K49" s="17">
        <f>SUM(K44:K48)</f>
        <v>2159.8834765856463</v>
      </c>
      <c r="L49" s="18">
        <f>SUM(L44:L48)</f>
        <v>100</v>
      </c>
      <c r="M49" s="18">
        <f t="shared" ref="M49:X49" si="0">SUM(M44:M48)</f>
        <v>108.00000000000001</v>
      </c>
      <c r="N49" s="18">
        <f t="shared" si="0"/>
        <v>116.66000000000001</v>
      </c>
      <c r="O49" s="18">
        <f t="shared" si="0"/>
        <v>126.03600000000003</v>
      </c>
      <c r="P49" s="18">
        <f t="shared" si="0"/>
        <v>136.18887080000005</v>
      </c>
      <c r="Q49" s="18">
        <f t="shared" si="0"/>
        <v>147.18478680000004</v>
      </c>
      <c r="R49" s="18">
        <f t="shared" si="0"/>
        <v>159.09569795780004</v>
      </c>
      <c r="S49" s="18">
        <f t="shared" si="0"/>
        <v>171.99984450132007</v>
      </c>
      <c r="T49" s="18">
        <f t="shared" si="0"/>
        <v>185.98231832669683</v>
      </c>
      <c r="U49" s="18">
        <f t="shared" si="0"/>
        <v>201.1356753793919</v>
      </c>
      <c r="V49" s="18">
        <f t="shared" si="0"/>
        <v>217.56060371594663</v>
      </c>
      <c r="W49" s="18">
        <f t="shared" si="0"/>
        <v>235.36665238210571</v>
      </c>
      <c r="X49" s="18">
        <f t="shared" si="0"/>
        <v>254.67302672238515</v>
      </c>
    </row>
    <row r="50" spans="3:24" hidden="1" outlineLevel="1">
      <c r="D50" s="8"/>
    </row>
    <row r="51" spans="3:24" hidden="1" outlineLevel="1">
      <c r="D51" s="25" t="s">
        <v>38</v>
      </c>
      <c r="J51" s="118" t="str">
        <f>Currency</f>
        <v>[A$]</v>
      </c>
      <c r="K51" s="21">
        <f>SUM(L51:X51)</f>
        <v>2159.8834765856463</v>
      </c>
      <c r="L51" s="22">
        <f t="shared" ref="L51:X51" si="1">L49</f>
        <v>100</v>
      </c>
      <c r="M51" s="22">
        <f t="shared" si="1"/>
        <v>108.00000000000001</v>
      </c>
      <c r="N51" s="22">
        <f t="shared" si="1"/>
        <v>116.66000000000001</v>
      </c>
      <c r="O51" s="22">
        <f t="shared" si="1"/>
        <v>126.03600000000003</v>
      </c>
      <c r="P51" s="22">
        <f t="shared" si="1"/>
        <v>136.18887080000005</v>
      </c>
      <c r="Q51" s="22">
        <f t="shared" si="1"/>
        <v>147.18478680000004</v>
      </c>
      <c r="R51" s="22">
        <f t="shared" si="1"/>
        <v>159.09569795780004</v>
      </c>
      <c r="S51" s="22">
        <f t="shared" si="1"/>
        <v>171.99984450132007</v>
      </c>
      <c r="T51" s="22">
        <f t="shared" si="1"/>
        <v>185.98231832669683</v>
      </c>
      <c r="U51" s="22">
        <f t="shared" si="1"/>
        <v>201.1356753793919</v>
      </c>
      <c r="V51" s="22">
        <f t="shared" si="1"/>
        <v>217.56060371594663</v>
      </c>
      <c r="W51" s="22">
        <f t="shared" si="1"/>
        <v>235.36665238210571</v>
      </c>
      <c r="X51" s="22">
        <f t="shared" si="1"/>
        <v>254.67302672238515</v>
      </c>
    </row>
    <row r="52" spans="3:24" ht="11.25" customHeight="1" collapsed="1"/>
    <row r="53" spans="3:24" s="29" customFormat="1" ht="12">
      <c r="C53" s="29" t="s">
        <v>39</v>
      </c>
    </row>
    <row r="54" spans="3:24" hidden="1" outlineLevel="1"/>
    <row r="55" spans="3:24" hidden="1" outlineLevel="1">
      <c r="D55" s="26" t="str">
        <f t="shared" ref="D55:D60" si="2">D63</f>
        <v>Expense With Growth Rates</v>
      </c>
      <c r="K55" s="37" t="s">
        <v>40</v>
      </c>
      <c r="L55" s="44"/>
      <c r="M55" s="44"/>
      <c r="N55" s="44"/>
      <c r="O55" s="44"/>
      <c r="P55" s="44"/>
      <c r="Q55" s="44"/>
      <c r="R55" s="44"/>
      <c r="S55" s="44"/>
      <c r="T55" s="44"/>
      <c r="U55" s="44"/>
      <c r="V55" s="44"/>
      <c r="W55" s="44"/>
      <c r="X55" s="44"/>
    </row>
    <row r="56" spans="3:24" hidden="1" outlineLevel="1">
      <c r="D56" s="28" t="str">
        <f t="shared" si="2"/>
        <v>Cost of Sales Category 1</v>
      </c>
      <c r="K56" s="47">
        <v>10</v>
      </c>
      <c r="L56" s="11">
        <f>K56*(1+L64)</f>
        <v>10.25</v>
      </c>
      <c r="M56" s="11">
        <f t="shared" ref="M56:X56" si="3">L56*(1+M64)</f>
        <v>10.50625</v>
      </c>
      <c r="N56" s="11">
        <f t="shared" si="3"/>
        <v>10.768906249999999</v>
      </c>
      <c r="O56" s="11">
        <f t="shared" si="3"/>
        <v>11.038128906249998</v>
      </c>
      <c r="P56" s="11">
        <f t="shared" si="3"/>
        <v>11.314082128906247</v>
      </c>
      <c r="Q56" s="11">
        <f t="shared" si="3"/>
        <v>11.596934182128901</v>
      </c>
      <c r="R56" s="11">
        <f t="shared" si="3"/>
        <v>11.886857536682124</v>
      </c>
      <c r="S56" s="11">
        <f t="shared" si="3"/>
        <v>12.184028975099176</v>
      </c>
      <c r="T56" s="11">
        <f t="shared" si="3"/>
        <v>12.488629699476654</v>
      </c>
      <c r="U56" s="11">
        <f t="shared" si="3"/>
        <v>12.800845441963569</v>
      </c>
      <c r="V56" s="11">
        <f t="shared" si="3"/>
        <v>13.120866578012656</v>
      </c>
      <c r="W56" s="11">
        <f t="shared" si="3"/>
        <v>13.448888242462971</v>
      </c>
      <c r="X56" s="11">
        <f t="shared" si="3"/>
        <v>13.785110448524543</v>
      </c>
    </row>
    <row r="57" spans="3:24" hidden="1" outlineLevel="1">
      <c r="D57" s="28" t="str">
        <f t="shared" si="2"/>
        <v>Cost of Sales Category 2</v>
      </c>
      <c r="K57" s="47">
        <v>11</v>
      </c>
      <c r="L57" s="11">
        <f t="shared" ref="L57:X57" si="4">K57*(1+L65)</f>
        <v>11.274999999999999</v>
      </c>
      <c r="M57" s="11">
        <f t="shared" si="4"/>
        <v>11.556874999999998</v>
      </c>
      <c r="N57" s="11">
        <f t="shared" si="4"/>
        <v>11.845796874999998</v>
      </c>
      <c r="O57" s="11">
        <f t="shared" si="4"/>
        <v>12.141941796874997</v>
      </c>
      <c r="P57" s="11">
        <f t="shared" si="4"/>
        <v>12.445490341796871</v>
      </c>
      <c r="Q57" s="11">
        <f t="shared" si="4"/>
        <v>12.756627600341792</v>
      </c>
      <c r="R57" s="11">
        <f t="shared" si="4"/>
        <v>13.075543290350335</v>
      </c>
      <c r="S57" s="11">
        <f t="shared" si="4"/>
        <v>13.402431872609093</v>
      </c>
      <c r="T57" s="11">
        <f t="shared" si="4"/>
        <v>13.737492669424318</v>
      </c>
      <c r="U57" s="11">
        <f t="shared" si="4"/>
        <v>14.080929986159925</v>
      </c>
      <c r="V57" s="11">
        <f t="shared" si="4"/>
        <v>14.432953235813921</v>
      </c>
      <c r="W57" s="11">
        <f t="shared" si="4"/>
        <v>14.793777066709268</v>
      </c>
      <c r="X57" s="11">
        <f t="shared" si="4"/>
        <v>15.163621493376999</v>
      </c>
    </row>
    <row r="58" spans="3:24" hidden="1" outlineLevel="1">
      <c r="D58" s="28" t="str">
        <f t="shared" si="2"/>
        <v>Cost of Sales Category 3</v>
      </c>
      <c r="K58" s="47">
        <v>12</v>
      </c>
      <c r="L58" s="11">
        <f t="shared" ref="L58:X58" si="5">K58*(1+L66)</f>
        <v>12.299999999999999</v>
      </c>
      <c r="M58" s="11">
        <f t="shared" si="5"/>
        <v>12.607499999999998</v>
      </c>
      <c r="N58" s="11">
        <f t="shared" si="5"/>
        <v>12.922687499999997</v>
      </c>
      <c r="O58" s="11">
        <f t="shared" si="5"/>
        <v>13.245754687499996</v>
      </c>
      <c r="P58" s="11">
        <f t="shared" si="5"/>
        <v>13.576898554687496</v>
      </c>
      <c r="Q58" s="11">
        <f t="shared" si="5"/>
        <v>13.916321018554681</v>
      </c>
      <c r="R58" s="11">
        <f t="shared" si="5"/>
        <v>14.264229044018547</v>
      </c>
      <c r="S58" s="11">
        <f t="shared" si="5"/>
        <v>14.620834770119009</v>
      </c>
      <c r="T58" s="11">
        <f t="shared" si="5"/>
        <v>14.986355639371983</v>
      </c>
      <c r="U58" s="11">
        <f t="shared" si="5"/>
        <v>15.361014530356281</v>
      </c>
      <c r="V58" s="11">
        <f t="shared" si="5"/>
        <v>15.745039893615186</v>
      </c>
      <c r="W58" s="11">
        <f t="shared" si="5"/>
        <v>16.138665890955565</v>
      </c>
      <c r="X58" s="11">
        <f t="shared" si="5"/>
        <v>16.542132538229453</v>
      </c>
    </row>
    <row r="59" spans="3:24" hidden="1" outlineLevel="1">
      <c r="D59" s="28" t="str">
        <f t="shared" si="2"/>
        <v>Cost of Sales Category 4</v>
      </c>
      <c r="K59" s="47">
        <v>13</v>
      </c>
      <c r="L59" s="11">
        <f t="shared" ref="L59:X59" si="6">K59*(1+L67)</f>
        <v>13.324999999999999</v>
      </c>
      <c r="M59" s="11">
        <f t="shared" si="6"/>
        <v>13.658124999999998</v>
      </c>
      <c r="N59" s="11">
        <f t="shared" si="6"/>
        <v>13.999578124999998</v>
      </c>
      <c r="O59" s="11">
        <f t="shared" si="6"/>
        <v>14.349567578124995</v>
      </c>
      <c r="P59" s="11">
        <f t="shared" si="6"/>
        <v>14.708306767578119</v>
      </c>
      <c r="Q59" s="11">
        <f t="shared" si="6"/>
        <v>15.07601443676757</v>
      </c>
      <c r="R59" s="11">
        <f t="shared" si="6"/>
        <v>15.452914797686759</v>
      </c>
      <c r="S59" s="11">
        <f t="shared" si="6"/>
        <v>15.839237667628927</v>
      </c>
      <c r="T59" s="11">
        <f t="shared" si="6"/>
        <v>16.235218609319649</v>
      </c>
      <c r="U59" s="11">
        <f t="shared" si="6"/>
        <v>16.641099074552638</v>
      </c>
      <c r="V59" s="11">
        <f t="shared" si="6"/>
        <v>17.057126551416452</v>
      </c>
      <c r="W59" s="11">
        <f t="shared" si="6"/>
        <v>17.483554715201862</v>
      </c>
      <c r="X59" s="11">
        <f t="shared" si="6"/>
        <v>17.920643583081908</v>
      </c>
    </row>
    <row r="60" spans="3:24" hidden="1" outlineLevel="1">
      <c r="D60" s="28" t="str">
        <f t="shared" si="2"/>
        <v>Cost of Sales Category 5</v>
      </c>
      <c r="K60" s="47">
        <v>14</v>
      </c>
      <c r="L60" s="11">
        <f t="shared" ref="L60:X60" si="7">K60*(1+L68)</f>
        <v>14.349999999999998</v>
      </c>
      <c r="M60" s="11">
        <f t="shared" si="7"/>
        <v>14.708749999999997</v>
      </c>
      <c r="N60" s="11">
        <f t="shared" si="7"/>
        <v>15.076468749999995</v>
      </c>
      <c r="O60" s="11">
        <f t="shared" si="7"/>
        <v>15.453380468749993</v>
      </c>
      <c r="P60" s="11">
        <f t="shared" si="7"/>
        <v>15.839714980468742</v>
      </c>
      <c r="Q60" s="11">
        <f t="shared" si="7"/>
        <v>16.235707854980458</v>
      </c>
      <c r="R60" s="11">
        <f t="shared" si="7"/>
        <v>16.641600551354969</v>
      </c>
      <c r="S60" s="11">
        <f t="shared" si="7"/>
        <v>17.057640565138843</v>
      </c>
      <c r="T60" s="11">
        <f t="shared" si="7"/>
        <v>17.484081579267311</v>
      </c>
      <c r="U60" s="11">
        <f t="shared" si="7"/>
        <v>17.921183618748991</v>
      </c>
      <c r="V60" s="11">
        <f t="shared" si="7"/>
        <v>18.369213209217715</v>
      </c>
      <c r="W60" s="11">
        <f t="shared" si="7"/>
        <v>18.828443539448156</v>
      </c>
      <c r="X60" s="11">
        <f t="shared" si="7"/>
        <v>19.299154627934357</v>
      </c>
    </row>
    <row r="61" spans="3:24" hidden="1" outlineLevel="1">
      <c r="D61" s="27" t="s">
        <v>37</v>
      </c>
      <c r="L61" s="18">
        <f t="shared" ref="L61:X61" si="8">SUM(L56:L60)</f>
        <v>61.499999999999986</v>
      </c>
      <c r="M61" s="18">
        <f t="shared" si="8"/>
        <v>63.037499999999994</v>
      </c>
      <c r="N61" s="18">
        <f t="shared" si="8"/>
        <v>64.613437499999989</v>
      </c>
      <c r="O61" s="18">
        <f t="shared" si="8"/>
        <v>66.228773437499981</v>
      </c>
      <c r="P61" s="18">
        <f t="shared" si="8"/>
        <v>67.884492773437472</v>
      </c>
      <c r="Q61" s="18">
        <f t="shared" si="8"/>
        <v>69.581605092773401</v>
      </c>
      <c r="R61" s="18">
        <f t="shared" si="8"/>
        <v>71.321145220092745</v>
      </c>
      <c r="S61" s="18">
        <f t="shared" si="8"/>
        <v>73.104173850595046</v>
      </c>
      <c r="T61" s="18">
        <f t="shared" si="8"/>
        <v>74.931778196859909</v>
      </c>
      <c r="U61" s="18">
        <f t="shared" si="8"/>
        <v>76.805072651781416</v>
      </c>
      <c r="V61" s="18">
        <f t="shared" si="8"/>
        <v>78.725199468075928</v>
      </c>
      <c r="W61" s="18">
        <f t="shared" si="8"/>
        <v>80.693329454777825</v>
      </c>
      <c r="X61" s="18">
        <f t="shared" si="8"/>
        <v>82.710662691147263</v>
      </c>
    </row>
    <row r="62" spans="3:24" hidden="1" outlineLevel="1">
      <c r="L62" s="44"/>
      <c r="M62" s="44"/>
      <c r="N62" s="44"/>
      <c r="O62" s="44"/>
      <c r="P62" s="44"/>
      <c r="Q62" s="44"/>
      <c r="R62" s="44"/>
      <c r="S62" s="44"/>
      <c r="T62" s="44"/>
      <c r="U62" s="44"/>
      <c r="V62" s="44"/>
      <c r="W62" s="44"/>
      <c r="X62" s="44"/>
    </row>
    <row r="63" spans="3:24" hidden="1" outlineLevel="1">
      <c r="D63" s="25" t="s">
        <v>41</v>
      </c>
      <c r="L63" s="25" t="s">
        <v>42</v>
      </c>
    </row>
    <row r="64" spans="3:24" hidden="1" outlineLevel="1">
      <c r="D64" s="9" t="s">
        <v>43</v>
      </c>
      <c r="K64" s="118" t="s">
        <v>44</v>
      </c>
      <c r="L64" s="48">
        <v>2.5000000000000001E-2</v>
      </c>
      <c r="M64" s="13">
        <v>2.5000000000000001E-2</v>
      </c>
      <c r="N64" s="13">
        <v>2.5000000000000001E-2</v>
      </c>
      <c r="O64" s="13">
        <v>2.5000000000000001E-2</v>
      </c>
      <c r="P64" s="13">
        <v>2.5000000000000001E-2</v>
      </c>
      <c r="Q64" s="13">
        <v>2.5000000000000001E-2</v>
      </c>
      <c r="R64" s="13">
        <v>2.5000000000000001E-2</v>
      </c>
      <c r="S64" s="13">
        <v>2.5000000000000001E-2</v>
      </c>
      <c r="T64" s="13">
        <v>2.5000000000000001E-2</v>
      </c>
      <c r="U64" s="13">
        <v>2.5000000000000001E-2</v>
      </c>
      <c r="V64" s="13">
        <v>2.5000000000000001E-2</v>
      </c>
      <c r="W64" s="13">
        <v>2.5000000000000001E-2</v>
      </c>
      <c r="X64" s="13">
        <v>2.5000000000000001E-2</v>
      </c>
    </row>
    <row r="65" spans="3:24" hidden="1" outlineLevel="1">
      <c r="D65" s="9" t="s">
        <v>45</v>
      </c>
      <c r="K65" s="118" t="s">
        <v>44</v>
      </c>
      <c r="L65" s="48">
        <v>2.5000000000000001E-2</v>
      </c>
      <c r="M65" s="13">
        <v>2.5000000000000001E-2</v>
      </c>
      <c r="N65" s="13">
        <v>2.5000000000000001E-2</v>
      </c>
      <c r="O65" s="13">
        <v>2.5000000000000001E-2</v>
      </c>
      <c r="P65" s="13">
        <v>2.5000000000000001E-2</v>
      </c>
      <c r="Q65" s="13">
        <v>2.5000000000000001E-2</v>
      </c>
      <c r="R65" s="13">
        <v>2.5000000000000001E-2</v>
      </c>
      <c r="S65" s="13">
        <v>2.5000000000000001E-2</v>
      </c>
      <c r="T65" s="13">
        <v>2.5000000000000001E-2</v>
      </c>
      <c r="U65" s="13">
        <v>2.5000000000000001E-2</v>
      </c>
      <c r="V65" s="13">
        <v>2.5000000000000001E-2</v>
      </c>
      <c r="W65" s="13">
        <v>2.5000000000000001E-2</v>
      </c>
      <c r="X65" s="13">
        <v>2.5000000000000001E-2</v>
      </c>
    </row>
    <row r="66" spans="3:24" hidden="1" outlineLevel="1">
      <c r="D66" s="9" t="s">
        <v>46</v>
      </c>
      <c r="K66" s="118" t="s">
        <v>44</v>
      </c>
      <c r="L66" s="48">
        <v>2.5000000000000001E-2</v>
      </c>
      <c r="M66" s="13">
        <v>2.5000000000000001E-2</v>
      </c>
      <c r="N66" s="13">
        <v>2.5000000000000001E-2</v>
      </c>
      <c r="O66" s="13">
        <v>2.5000000000000001E-2</v>
      </c>
      <c r="P66" s="13">
        <v>2.5000000000000001E-2</v>
      </c>
      <c r="Q66" s="13">
        <v>2.5000000000000001E-2</v>
      </c>
      <c r="R66" s="13">
        <v>2.5000000000000001E-2</v>
      </c>
      <c r="S66" s="13">
        <v>2.5000000000000001E-2</v>
      </c>
      <c r="T66" s="13">
        <v>2.5000000000000001E-2</v>
      </c>
      <c r="U66" s="13">
        <v>2.5000000000000001E-2</v>
      </c>
      <c r="V66" s="13">
        <v>2.5000000000000001E-2</v>
      </c>
      <c r="W66" s="13">
        <v>2.5000000000000001E-2</v>
      </c>
      <c r="X66" s="13">
        <v>2.5000000000000001E-2</v>
      </c>
    </row>
    <row r="67" spans="3:24" hidden="1" outlineLevel="1">
      <c r="D67" s="9" t="s">
        <v>47</v>
      </c>
      <c r="K67" s="118" t="s">
        <v>44</v>
      </c>
      <c r="L67" s="48">
        <v>2.5000000000000001E-2</v>
      </c>
      <c r="M67" s="13">
        <v>2.5000000000000001E-2</v>
      </c>
      <c r="N67" s="13">
        <v>2.5000000000000001E-2</v>
      </c>
      <c r="O67" s="13">
        <v>2.5000000000000001E-2</v>
      </c>
      <c r="P67" s="13">
        <v>2.5000000000000001E-2</v>
      </c>
      <c r="Q67" s="13">
        <v>2.5000000000000001E-2</v>
      </c>
      <c r="R67" s="13">
        <v>2.5000000000000001E-2</v>
      </c>
      <c r="S67" s="13">
        <v>2.5000000000000001E-2</v>
      </c>
      <c r="T67" s="13">
        <v>2.5000000000000001E-2</v>
      </c>
      <c r="U67" s="13">
        <v>2.5000000000000001E-2</v>
      </c>
      <c r="V67" s="13">
        <v>2.5000000000000001E-2</v>
      </c>
      <c r="W67" s="13">
        <v>2.5000000000000001E-2</v>
      </c>
      <c r="X67" s="13">
        <v>2.5000000000000001E-2</v>
      </c>
    </row>
    <row r="68" spans="3:24" hidden="1" outlineLevel="1">
      <c r="D68" s="9" t="s">
        <v>48</v>
      </c>
      <c r="K68" s="118" t="s">
        <v>44</v>
      </c>
      <c r="L68" s="48">
        <v>2.5000000000000001E-2</v>
      </c>
      <c r="M68" s="13">
        <v>2.5000000000000001E-2</v>
      </c>
      <c r="N68" s="13">
        <v>2.5000000000000001E-2</v>
      </c>
      <c r="O68" s="13">
        <v>2.5000000000000001E-2</v>
      </c>
      <c r="P68" s="13">
        <v>2.5000000000000001E-2</v>
      </c>
      <c r="Q68" s="13">
        <v>2.5000000000000001E-2</v>
      </c>
      <c r="R68" s="13">
        <v>2.5000000000000001E-2</v>
      </c>
      <c r="S68" s="13">
        <v>2.5000000000000001E-2</v>
      </c>
      <c r="T68" s="13">
        <v>2.5000000000000001E-2</v>
      </c>
      <c r="U68" s="13">
        <v>2.5000000000000001E-2</v>
      </c>
      <c r="V68" s="13">
        <v>2.5000000000000001E-2</v>
      </c>
      <c r="W68" s="13">
        <v>2.5000000000000001E-2</v>
      </c>
      <c r="X68" s="13">
        <v>2.5000000000000001E-2</v>
      </c>
    </row>
    <row r="69" spans="3:24" hidden="1" outlineLevel="1">
      <c r="L69" s="44"/>
      <c r="M69" s="44"/>
      <c r="N69" s="44"/>
      <c r="O69" s="44"/>
      <c r="P69" s="44"/>
      <c r="Q69" s="44"/>
      <c r="R69" s="44"/>
      <c r="S69" s="44"/>
      <c r="T69" s="44"/>
      <c r="U69" s="44"/>
      <c r="V69" s="44"/>
      <c r="W69" s="44"/>
      <c r="X69" s="44"/>
    </row>
    <row r="70" spans="3:24" hidden="1" outlineLevel="1">
      <c r="D70" s="25" t="s">
        <v>49</v>
      </c>
      <c r="J70" s="118" t="str">
        <f>Currency</f>
        <v>[A$]</v>
      </c>
      <c r="K70" s="21">
        <f>SUM(L70:X70)</f>
        <v>931.13717033704097</v>
      </c>
      <c r="L70" s="22">
        <f>L61</f>
        <v>61.499999999999986</v>
      </c>
      <c r="M70" s="22">
        <f t="shared" ref="M70:X70" si="9">M61</f>
        <v>63.037499999999994</v>
      </c>
      <c r="N70" s="22">
        <f t="shared" si="9"/>
        <v>64.613437499999989</v>
      </c>
      <c r="O70" s="22">
        <f t="shared" si="9"/>
        <v>66.228773437499981</v>
      </c>
      <c r="P70" s="22">
        <f t="shared" si="9"/>
        <v>67.884492773437472</v>
      </c>
      <c r="Q70" s="22">
        <f t="shared" si="9"/>
        <v>69.581605092773401</v>
      </c>
      <c r="R70" s="22">
        <f t="shared" si="9"/>
        <v>71.321145220092745</v>
      </c>
      <c r="S70" s="22">
        <f t="shared" si="9"/>
        <v>73.104173850595046</v>
      </c>
      <c r="T70" s="22">
        <f t="shared" si="9"/>
        <v>74.931778196859909</v>
      </c>
      <c r="U70" s="22">
        <f t="shared" si="9"/>
        <v>76.805072651781416</v>
      </c>
      <c r="V70" s="22">
        <f t="shared" si="9"/>
        <v>78.725199468075928</v>
      </c>
      <c r="W70" s="22">
        <f t="shared" si="9"/>
        <v>80.693329454777825</v>
      </c>
      <c r="X70" s="22">
        <f t="shared" si="9"/>
        <v>82.710662691147263</v>
      </c>
    </row>
    <row r="71" spans="3:24" collapsed="1"/>
    <row r="72" spans="3:24" s="29" customFormat="1" ht="12">
      <c r="C72" s="29" t="s">
        <v>50</v>
      </c>
    </row>
    <row r="73" spans="3:24" hidden="1" outlineLevel="1"/>
    <row r="74" spans="3:24" hidden="1" outlineLevel="1">
      <c r="D74" s="25" t="s">
        <v>51</v>
      </c>
      <c r="H74" s="37" t="s">
        <v>23</v>
      </c>
      <c r="I74" s="37" t="s">
        <v>52</v>
      </c>
      <c r="J74" s="37" t="s">
        <v>53</v>
      </c>
      <c r="K74" s="37" t="s">
        <v>54</v>
      </c>
    </row>
    <row r="75" spans="3:24" hidden="1" outlineLevel="1">
      <c r="D75" s="9" t="s">
        <v>55</v>
      </c>
      <c r="H75" s="45">
        <v>42185</v>
      </c>
      <c r="I75" s="159">
        <v>10</v>
      </c>
      <c r="J75" s="46">
        <v>2</v>
      </c>
      <c r="K75" s="160">
        <f>MATCH(H75,$L$7:$X$7)</f>
        <v>3</v>
      </c>
      <c r="L75" s="11">
        <f t="shared" ref="L75:X79" si="10">IF(MOD(L$20-$K75,$J75)=0,$I75,0)*(L$20&gt;=$K75)</f>
        <v>0</v>
      </c>
      <c r="M75" s="11">
        <f t="shared" si="10"/>
        <v>0</v>
      </c>
      <c r="N75" s="11">
        <f t="shared" si="10"/>
        <v>10</v>
      </c>
      <c r="O75" s="11">
        <f t="shared" si="10"/>
        <v>0</v>
      </c>
      <c r="P75" s="11">
        <f t="shared" si="10"/>
        <v>10</v>
      </c>
      <c r="Q75" s="11">
        <f t="shared" si="10"/>
        <v>0</v>
      </c>
      <c r="R75" s="11">
        <f t="shared" si="10"/>
        <v>10</v>
      </c>
      <c r="S75" s="11">
        <f t="shared" si="10"/>
        <v>0</v>
      </c>
      <c r="T75" s="11">
        <f t="shared" si="10"/>
        <v>10</v>
      </c>
      <c r="U75" s="11">
        <f t="shared" si="10"/>
        <v>0</v>
      </c>
      <c r="V75" s="11">
        <f t="shared" si="10"/>
        <v>10</v>
      </c>
      <c r="W75" s="11">
        <f t="shared" si="10"/>
        <v>0</v>
      </c>
      <c r="X75" s="11">
        <f t="shared" si="10"/>
        <v>10</v>
      </c>
    </row>
    <row r="76" spans="3:24" hidden="1" outlineLevel="1">
      <c r="D76" s="9" t="s">
        <v>56</v>
      </c>
      <c r="H76" s="45">
        <v>41455</v>
      </c>
      <c r="I76" s="159">
        <v>6</v>
      </c>
      <c r="J76" s="46">
        <v>3</v>
      </c>
      <c r="K76" s="160">
        <f>MATCH(H76,$L$7:$X$7)</f>
        <v>1</v>
      </c>
      <c r="L76" s="11">
        <f t="shared" si="10"/>
        <v>6</v>
      </c>
      <c r="M76" s="11">
        <f t="shared" si="10"/>
        <v>0</v>
      </c>
      <c r="N76" s="11">
        <f t="shared" si="10"/>
        <v>0</v>
      </c>
      <c r="O76" s="11">
        <f t="shared" si="10"/>
        <v>6</v>
      </c>
      <c r="P76" s="11">
        <f t="shared" si="10"/>
        <v>0</v>
      </c>
      <c r="Q76" s="11">
        <f t="shared" si="10"/>
        <v>0</v>
      </c>
      <c r="R76" s="11">
        <f t="shared" si="10"/>
        <v>6</v>
      </c>
      <c r="S76" s="11">
        <f t="shared" si="10"/>
        <v>0</v>
      </c>
      <c r="T76" s="11">
        <f t="shared" si="10"/>
        <v>0</v>
      </c>
      <c r="U76" s="11">
        <f t="shared" si="10"/>
        <v>6</v>
      </c>
      <c r="V76" s="11">
        <f t="shared" si="10"/>
        <v>0</v>
      </c>
      <c r="W76" s="11">
        <f t="shared" si="10"/>
        <v>0</v>
      </c>
      <c r="X76" s="11">
        <f t="shared" si="10"/>
        <v>6</v>
      </c>
    </row>
    <row r="77" spans="3:24" hidden="1" outlineLevel="1">
      <c r="D77" s="9" t="s">
        <v>57</v>
      </c>
      <c r="H77" s="45">
        <v>41820</v>
      </c>
      <c r="I77" s="159">
        <v>12</v>
      </c>
      <c r="J77" s="46">
        <v>4</v>
      </c>
      <c r="K77" s="160">
        <f>MATCH(H77,$L$7:$X$7)</f>
        <v>2</v>
      </c>
      <c r="L77" s="11">
        <f t="shared" si="10"/>
        <v>0</v>
      </c>
      <c r="M77" s="11">
        <f t="shared" si="10"/>
        <v>12</v>
      </c>
      <c r="N77" s="11">
        <f t="shared" si="10"/>
        <v>0</v>
      </c>
      <c r="O77" s="11">
        <f t="shared" si="10"/>
        <v>0</v>
      </c>
      <c r="P77" s="11">
        <f t="shared" si="10"/>
        <v>0</v>
      </c>
      <c r="Q77" s="11">
        <f t="shared" si="10"/>
        <v>12</v>
      </c>
      <c r="R77" s="11">
        <f t="shared" si="10"/>
        <v>0</v>
      </c>
      <c r="S77" s="11">
        <f t="shared" si="10"/>
        <v>0</v>
      </c>
      <c r="T77" s="11">
        <f t="shared" si="10"/>
        <v>0</v>
      </c>
      <c r="U77" s="11">
        <f t="shared" si="10"/>
        <v>12</v>
      </c>
      <c r="V77" s="11">
        <f t="shared" si="10"/>
        <v>0</v>
      </c>
      <c r="W77" s="11">
        <f t="shared" si="10"/>
        <v>0</v>
      </c>
      <c r="X77" s="11">
        <f t="shared" si="10"/>
        <v>0</v>
      </c>
    </row>
    <row r="78" spans="3:24" hidden="1" outlineLevel="1">
      <c r="D78" s="9" t="s">
        <v>58</v>
      </c>
      <c r="H78" s="45">
        <v>42185</v>
      </c>
      <c r="I78" s="159">
        <v>13</v>
      </c>
      <c r="J78" s="46">
        <v>1</v>
      </c>
      <c r="K78" s="160">
        <f>MATCH(H78,$L$7:$X$7)</f>
        <v>3</v>
      </c>
      <c r="L78" s="11">
        <f t="shared" si="10"/>
        <v>0</v>
      </c>
      <c r="M78" s="11">
        <f t="shared" si="10"/>
        <v>0</v>
      </c>
      <c r="N78" s="11">
        <f>IF(MOD(N$20-$K78,$J78)=0,$I78,0)*(N$20&gt;=$K78)</f>
        <v>13</v>
      </c>
      <c r="O78" s="11">
        <f t="shared" si="10"/>
        <v>13</v>
      </c>
      <c r="P78" s="11">
        <f t="shared" si="10"/>
        <v>13</v>
      </c>
      <c r="Q78" s="11">
        <f t="shared" si="10"/>
        <v>13</v>
      </c>
      <c r="R78" s="11">
        <f t="shared" si="10"/>
        <v>13</v>
      </c>
      <c r="S78" s="11">
        <f t="shared" si="10"/>
        <v>13</v>
      </c>
      <c r="T78" s="11">
        <f t="shared" si="10"/>
        <v>13</v>
      </c>
      <c r="U78" s="11">
        <f t="shared" si="10"/>
        <v>13</v>
      </c>
      <c r="V78" s="11">
        <f t="shared" si="10"/>
        <v>13</v>
      </c>
      <c r="W78" s="11">
        <f t="shared" si="10"/>
        <v>13</v>
      </c>
      <c r="X78" s="11">
        <f t="shared" si="10"/>
        <v>13</v>
      </c>
    </row>
    <row r="79" spans="3:24" hidden="1" outlineLevel="1">
      <c r="D79" s="9" t="s">
        <v>59</v>
      </c>
      <c r="H79" s="45">
        <v>42551</v>
      </c>
      <c r="I79" s="159">
        <v>14</v>
      </c>
      <c r="J79" s="46">
        <v>12</v>
      </c>
      <c r="K79" s="160">
        <f>MATCH(H79,$L$7:$X$7)</f>
        <v>4</v>
      </c>
      <c r="L79" s="11">
        <f t="shared" si="10"/>
        <v>0</v>
      </c>
      <c r="M79" s="11">
        <f t="shared" si="10"/>
        <v>0</v>
      </c>
      <c r="N79" s="11">
        <f t="shared" si="10"/>
        <v>0</v>
      </c>
      <c r="O79" s="11">
        <f t="shared" si="10"/>
        <v>14</v>
      </c>
      <c r="P79" s="11">
        <f t="shared" si="10"/>
        <v>0</v>
      </c>
      <c r="Q79" s="11">
        <f t="shared" si="10"/>
        <v>0</v>
      </c>
      <c r="R79" s="11">
        <f t="shared" si="10"/>
        <v>0</v>
      </c>
      <c r="S79" s="11">
        <f t="shared" si="10"/>
        <v>0</v>
      </c>
      <c r="T79" s="11">
        <f t="shared" si="10"/>
        <v>0</v>
      </c>
      <c r="U79" s="11">
        <f t="shared" si="10"/>
        <v>0</v>
      </c>
      <c r="V79" s="11">
        <f t="shared" si="10"/>
        <v>0</v>
      </c>
      <c r="W79" s="11">
        <f t="shared" si="10"/>
        <v>0</v>
      </c>
      <c r="X79" s="11">
        <f t="shared" si="10"/>
        <v>0</v>
      </c>
    </row>
    <row r="80" spans="3:24" hidden="1" outlineLevel="1">
      <c r="D80" s="27" t="s">
        <v>37</v>
      </c>
      <c r="L80" s="18">
        <f>SUM(L75:L79)</f>
        <v>6</v>
      </c>
      <c r="M80" s="18">
        <f t="shared" ref="M80:X80" si="11">SUM(M75:M79)</f>
        <v>12</v>
      </c>
      <c r="N80" s="18">
        <f t="shared" si="11"/>
        <v>23</v>
      </c>
      <c r="O80" s="18">
        <f t="shared" si="11"/>
        <v>33</v>
      </c>
      <c r="P80" s="18">
        <f t="shared" si="11"/>
        <v>23</v>
      </c>
      <c r="Q80" s="18">
        <f t="shared" si="11"/>
        <v>25</v>
      </c>
      <c r="R80" s="18">
        <f t="shared" si="11"/>
        <v>29</v>
      </c>
      <c r="S80" s="18">
        <f t="shared" si="11"/>
        <v>13</v>
      </c>
      <c r="T80" s="18">
        <f t="shared" si="11"/>
        <v>23</v>
      </c>
      <c r="U80" s="18">
        <f t="shared" si="11"/>
        <v>31</v>
      </c>
      <c r="V80" s="18">
        <f t="shared" si="11"/>
        <v>23</v>
      </c>
      <c r="W80" s="18">
        <f t="shared" si="11"/>
        <v>13</v>
      </c>
      <c r="X80" s="18">
        <f t="shared" si="11"/>
        <v>29</v>
      </c>
    </row>
    <row r="81" spans="2:24" hidden="1" outlineLevel="1">
      <c r="D81" s="8"/>
    </row>
    <row r="82" spans="2:24" hidden="1" outlineLevel="1">
      <c r="D82" s="25" t="s">
        <v>60</v>
      </c>
      <c r="K82" s="21">
        <f>SUM(L82:X82)</f>
        <v>283</v>
      </c>
      <c r="L82" s="22">
        <f>L80</f>
        <v>6</v>
      </c>
      <c r="M82" s="22">
        <f t="shared" ref="M82:X82" si="12">M80</f>
        <v>12</v>
      </c>
      <c r="N82" s="22">
        <f t="shared" si="12"/>
        <v>23</v>
      </c>
      <c r="O82" s="22">
        <f t="shared" si="12"/>
        <v>33</v>
      </c>
      <c r="P82" s="22">
        <f t="shared" si="12"/>
        <v>23</v>
      </c>
      <c r="Q82" s="22">
        <f t="shared" si="12"/>
        <v>25</v>
      </c>
      <c r="R82" s="22">
        <f t="shared" si="12"/>
        <v>29</v>
      </c>
      <c r="S82" s="22">
        <f t="shared" si="12"/>
        <v>13</v>
      </c>
      <c r="T82" s="22">
        <f t="shared" si="12"/>
        <v>23</v>
      </c>
      <c r="U82" s="22">
        <f t="shared" si="12"/>
        <v>31</v>
      </c>
      <c r="V82" s="22">
        <f t="shared" si="12"/>
        <v>23</v>
      </c>
      <c r="W82" s="22">
        <f t="shared" si="12"/>
        <v>13</v>
      </c>
      <c r="X82" s="22">
        <f t="shared" si="12"/>
        <v>29</v>
      </c>
    </row>
    <row r="83" spans="2:24" collapsed="1"/>
    <row r="84" spans="2:24" s="29" customFormat="1" ht="12">
      <c r="C84" s="29" t="s">
        <v>61</v>
      </c>
    </row>
    <row r="85" spans="2:24" hidden="1" outlineLevel="1"/>
    <row r="86" spans="2:24" hidden="1" outlineLevel="1">
      <c r="D86" s="25" t="s">
        <v>62</v>
      </c>
    </row>
    <row r="87" spans="2:24" ht="12" hidden="1" customHeight="1" outlineLevel="1">
      <c r="D87" s="9" t="s">
        <v>63</v>
      </c>
      <c r="K87" s="118" t="str">
        <f t="shared" ref="K87:K92" si="13">Currency</f>
        <v>[A$]</v>
      </c>
      <c r="L87" s="16">
        <v>5</v>
      </c>
      <c r="M87" s="12">
        <v>0</v>
      </c>
      <c r="N87" s="12">
        <v>0</v>
      </c>
      <c r="O87" s="12">
        <v>0</v>
      </c>
      <c r="P87" s="12">
        <v>6</v>
      </c>
      <c r="Q87" s="12">
        <v>0</v>
      </c>
      <c r="R87" s="12">
        <v>0</v>
      </c>
      <c r="S87" s="12">
        <v>0</v>
      </c>
      <c r="T87" s="12">
        <v>7</v>
      </c>
      <c r="U87" s="12">
        <v>0</v>
      </c>
      <c r="V87" s="12">
        <v>0</v>
      </c>
      <c r="W87" s="12">
        <v>0</v>
      </c>
      <c r="X87" s="12">
        <v>0</v>
      </c>
    </row>
    <row r="88" spans="2:24" ht="12" hidden="1" customHeight="1" outlineLevel="1">
      <c r="D88" s="9" t="s">
        <v>64</v>
      </c>
      <c r="K88" s="118" t="str">
        <f t="shared" si="13"/>
        <v>[A$]</v>
      </c>
      <c r="L88" s="16">
        <v>5</v>
      </c>
      <c r="M88" s="12">
        <v>0</v>
      </c>
      <c r="N88" s="12">
        <v>0</v>
      </c>
      <c r="O88" s="12">
        <v>0</v>
      </c>
      <c r="P88" s="12">
        <v>6</v>
      </c>
      <c r="Q88" s="12">
        <v>0</v>
      </c>
      <c r="R88" s="12">
        <v>0</v>
      </c>
      <c r="S88" s="12">
        <v>0</v>
      </c>
      <c r="T88" s="12">
        <v>7</v>
      </c>
      <c r="U88" s="12">
        <v>0</v>
      </c>
      <c r="V88" s="12">
        <v>0</v>
      </c>
      <c r="W88" s="12">
        <v>0</v>
      </c>
      <c r="X88" s="12">
        <v>0</v>
      </c>
    </row>
    <row r="89" spans="2:24" ht="12" hidden="1" customHeight="1" outlineLevel="1">
      <c r="D89" s="9" t="s">
        <v>65</v>
      </c>
      <c r="K89" s="118" t="str">
        <f t="shared" si="13"/>
        <v>[A$]</v>
      </c>
      <c r="L89" s="16">
        <v>5</v>
      </c>
      <c r="M89" s="12">
        <v>0</v>
      </c>
      <c r="N89" s="12">
        <v>0</v>
      </c>
      <c r="O89" s="12">
        <v>0</v>
      </c>
      <c r="P89" s="12">
        <v>6</v>
      </c>
      <c r="Q89" s="12">
        <v>0</v>
      </c>
      <c r="R89" s="12">
        <v>0</v>
      </c>
      <c r="S89" s="12">
        <v>0</v>
      </c>
      <c r="T89" s="12">
        <v>7</v>
      </c>
      <c r="U89" s="12">
        <v>0</v>
      </c>
      <c r="V89" s="12">
        <v>0</v>
      </c>
      <c r="W89" s="12">
        <v>0</v>
      </c>
      <c r="X89" s="12">
        <v>0</v>
      </c>
    </row>
    <row r="90" spans="2:24" ht="12" hidden="1" customHeight="1" outlineLevel="1">
      <c r="D90" s="9" t="s">
        <v>66</v>
      </c>
      <c r="K90" s="118" t="str">
        <f t="shared" si="13"/>
        <v>[A$]</v>
      </c>
      <c r="L90" s="16">
        <v>5</v>
      </c>
      <c r="M90" s="12">
        <v>0</v>
      </c>
      <c r="N90" s="12">
        <v>0</v>
      </c>
      <c r="O90" s="12">
        <v>0</v>
      </c>
      <c r="P90" s="12">
        <v>6</v>
      </c>
      <c r="Q90" s="12">
        <v>0</v>
      </c>
      <c r="R90" s="12">
        <v>0</v>
      </c>
      <c r="S90" s="12">
        <v>0</v>
      </c>
      <c r="T90" s="12">
        <v>7</v>
      </c>
      <c r="U90" s="12">
        <v>0</v>
      </c>
      <c r="V90" s="12">
        <v>0</v>
      </c>
      <c r="W90" s="12">
        <v>0</v>
      </c>
      <c r="X90" s="12">
        <v>0</v>
      </c>
    </row>
    <row r="91" spans="2:24" ht="12" hidden="1" customHeight="1" outlineLevel="1">
      <c r="D91" s="9" t="s">
        <v>67</v>
      </c>
      <c r="K91" s="118" t="str">
        <f t="shared" si="13"/>
        <v>[A$]</v>
      </c>
      <c r="L91" s="16">
        <v>5</v>
      </c>
      <c r="M91" s="12">
        <v>0</v>
      </c>
      <c r="N91" s="12">
        <v>0</v>
      </c>
      <c r="O91" s="12">
        <v>0</v>
      </c>
      <c r="P91" s="12">
        <v>6</v>
      </c>
      <c r="Q91" s="12">
        <v>0</v>
      </c>
      <c r="R91" s="12">
        <v>0</v>
      </c>
      <c r="S91" s="12">
        <v>0</v>
      </c>
      <c r="T91" s="12">
        <v>7</v>
      </c>
      <c r="U91" s="12">
        <v>0</v>
      </c>
      <c r="V91" s="12">
        <v>0</v>
      </c>
      <c r="W91" s="12">
        <v>0</v>
      </c>
      <c r="X91" s="12">
        <v>0</v>
      </c>
    </row>
    <row r="92" spans="2:24" hidden="1" outlineLevel="1">
      <c r="D92" s="27" t="s">
        <v>37</v>
      </c>
      <c r="K92" s="118" t="str">
        <f t="shared" si="13"/>
        <v>[A$]</v>
      </c>
      <c r="L92" s="18">
        <f>SUM(L87:L91)</f>
        <v>25</v>
      </c>
      <c r="M92" s="18">
        <f t="shared" ref="M92:X92" si="14">SUM(M87:M91)</f>
        <v>0</v>
      </c>
      <c r="N92" s="18">
        <f t="shared" si="14"/>
        <v>0</v>
      </c>
      <c r="O92" s="18">
        <f t="shared" si="14"/>
        <v>0</v>
      </c>
      <c r="P92" s="18">
        <f t="shared" si="14"/>
        <v>30</v>
      </c>
      <c r="Q92" s="18">
        <f t="shared" si="14"/>
        <v>0</v>
      </c>
      <c r="R92" s="18">
        <f t="shared" si="14"/>
        <v>0</v>
      </c>
      <c r="S92" s="18">
        <f t="shared" si="14"/>
        <v>0</v>
      </c>
      <c r="T92" s="18">
        <f t="shared" si="14"/>
        <v>35</v>
      </c>
      <c r="U92" s="18">
        <f t="shared" si="14"/>
        <v>0</v>
      </c>
      <c r="V92" s="18">
        <f t="shared" si="14"/>
        <v>0</v>
      </c>
      <c r="W92" s="18">
        <f t="shared" si="14"/>
        <v>0</v>
      </c>
      <c r="X92" s="18">
        <f t="shared" si="14"/>
        <v>0</v>
      </c>
    </row>
    <row r="93" spans="2:24" hidden="1" outlineLevel="1"/>
    <row r="94" spans="2:24" hidden="1" outlineLevel="1">
      <c r="D94" s="25" t="s">
        <v>68</v>
      </c>
      <c r="L94" s="22">
        <f>L92</f>
        <v>25</v>
      </c>
      <c r="M94" s="22">
        <f t="shared" ref="M94:X94" si="15">M92</f>
        <v>0</v>
      </c>
      <c r="N94" s="22">
        <f t="shared" si="15"/>
        <v>0</v>
      </c>
      <c r="O94" s="22">
        <f t="shared" si="15"/>
        <v>0</v>
      </c>
      <c r="P94" s="22">
        <f t="shared" si="15"/>
        <v>30</v>
      </c>
      <c r="Q94" s="22">
        <f t="shared" si="15"/>
        <v>0</v>
      </c>
      <c r="R94" s="22">
        <f t="shared" si="15"/>
        <v>0</v>
      </c>
      <c r="S94" s="22">
        <f t="shared" si="15"/>
        <v>0</v>
      </c>
      <c r="T94" s="22">
        <f t="shared" si="15"/>
        <v>35</v>
      </c>
      <c r="U94" s="22">
        <f t="shared" si="15"/>
        <v>0</v>
      </c>
      <c r="V94" s="22">
        <f t="shared" si="15"/>
        <v>0</v>
      </c>
      <c r="W94" s="22">
        <f t="shared" si="15"/>
        <v>0</v>
      </c>
      <c r="X94" s="22">
        <f t="shared" si="15"/>
        <v>0</v>
      </c>
    </row>
    <row r="95" spans="2:24" collapsed="1"/>
    <row r="96" spans="2:24" s="7" customFormat="1" ht="12.75">
      <c r="B96" s="7" t="s">
        <v>69</v>
      </c>
    </row>
    <row r="97" spans="3:24" ht="4.5" customHeight="1"/>
    <row r="98" spans="3:24" s="29" customFormat="1" ht="12">
      <c r="C98" s="29" t="s">
        <v>70</v>
      </c>
    </row>
    <row r="99" spans="3:24" outlineLevel="1"/>
    <row r="100" spans="3:24" outlineLevel="1">
      <c r="D100" s="25" t="s">
        <v>71</v>
      </c>
    </row>
    <row r="101" spans="3:24" outlineLevel="1">
      <c r="D101" s="9" t="s">
        <v>72</v>
      </c>
      <c r="K101" s="49" t="s">
        <v>73</v>
      </c>
      <c r="L101" s="23">
        <v>30</v>
      </c>
      <c r="M101" s="23">
        <v>30</v>
      </c>
      <c r="N101" s="23">
        <v>30</v>
      </c>
      <c r="O101" s="23">
        <v>30</v>
      </c>
      <c r="P101" s="23">
        <v>30</v>
      </c>
      <c r="Q101" s="23">
        <v>30</v>
      </c>
      <c r="R101" s="23">
        <v>30</v>
      </c>
      <c r="S101" s="23">
        <v>30</v>
      </c>
      <c r="T101" s="23">
        <v>30</v>
      </c>
      <c r="U101" s="23">
        <v>30</v>
      </c>
      <c r="V101" s="23">
        <v>30</v>
      </c>
      <c r="W101" s="23">
        <v>30</v>
      </c>
      <c r="X101" s="23">
        <v>30</v>
      </c>
    </row>
    <row r="102" spans="3:24" outlineLevel="1"/>
    <row r="103" spans="3:24" outlineLevel="1">
      <c r="D103" s="27" t="s">
        <v>74</v>
      </c>
      <c r="L103" s="12">
        <v>100</v>
      </c>
      <c r="M103" s="11">
        <f>L106</f>
        <v>8.2191780821917746</v>
      </c>
      <c r="N103" s="11">
        <f t="shared" ref="N103:X103" si="16">M106</f>
        <v>8.8767123287671268</v>
      </c>
      <c r="O103" s="11">
        <f t="shared" si="16"/>
        <v>9.5884931506849256</v>
      </c>
      <c r="P103" s="11">
        <f t="shared" si="16"/>
        <v>10.330819672131128</v>
      </c>
      <c r="Q103" s="11">
        <f t="shared" si="16"/>
        <v>11.193605819178089</v>
      </c>
      <c r="R103" s="11">
        <f t="shared" si="16"/>
        <v>12.097379736986312</v>
      </c>
      <c r="S103" s="11">
        <f t="shared" si="16"/>
        <v>13.076358736257532</v>
      </c>
      <c r="T103" s="11">
        <f t="shared" si="16"/>
        <v>14.098347909944266</v>
      </c>
      <c r="U103" s="11">
        <f t="shared" si="16"/>
        <v>15.286217944660024</v>
      </c>
      <c r="V103" s="11">
        <f t="shared" si="16"/>
        <v>16.531699346251401</v>
      </c>
      <c r="W103" s="11">
        <f>V106</f>
        <v>17.881693456105211</v>
      </c>
      <c r="X103" s="11">
        <f t="shared" si="16"/>
        <v>19.292348555910309</v>
      </c>
    </row>
    <row r="104" spans="3:24" outlineLevel="1">
      <c r="D104" s="27" t="s">
        <v>75</v>
      </c>
      <c r="L104" s="11">
        <f>L387</f>
        <v>100</v>
      </c>
      <c r="M104" s="11">
        <f t="shared" ref="M104:X104" si="17">M387</f>
        <v>108.00000000000001</v>
      </c>
      <c r="N104" s="11">
        <f t="shared" si="17"/>
        <v>116.66000000000001</v>
      </c>
      <c r="O104" s="11">
        <f t="shared" si="17"/>
        <v>126.03600000000003</v>
      </c>
      <c r="P104" s="11">
        <f t="shared" si="17"/>
        <v>136.18887080000005</v>
      </c>
      <c r="Q104" s="11">
        <f t="shared" si="17"/>
        <v>147.18478680000004</v>
      </c>
      <c r="R104" s="11">
        <f t="shared" si="17"/>
        <v>159.09569795780004</v>
      </c>
      <c r="S104" s="11">
        <f t="shared" si="17"/>
        <v>171.99984450132007</v>
      </c>
      <c r="T104" s="11">
        <f t="shared" si="17"/>
        <v>185.98231832669683</v>
      </c>
      <c r="U104" s="11">
        <f t="shared" si="17"/>
        <v>201.1356753793919</v>
      </c>
      <c r="V104" s="11">
        <f t="shared" si="17"/>
        <v>217.56060371594663</v>
      </c>
      <c r="W104" s="11">
        <f t="shared" si="17"/>
        <v>235.36665238210571</v>
      </c>
      <c r="X104" s="11">
        <f t="shared" si="17"/>
        <v>254.67302672238515</v>
      </c>
    </row>
    <row r="105" spans="3:24" outlineLevel="1">
      <c r="D105" s="27" t="s">
        <v>76</v>
      </c>
      <c r="L105" s="11">
        <f>-L104*(1-L101/L$14)-L103</f>
        <v>-191.78082191780823</v>
      </c>
      <c r="M105" s="11">
        <f t="shared" ref="M105:X105" si="18">-M104*(1-M101/M$14)-M103</f>
        <v>-107.34246575342466</v>
      </c>
      <c r="N105" s="11">
        <f t="shared" si="18"/>
        <v>-115.94821917808221</v>
      </c>
      <c r="O105" s="11">
        <f t="shared" si="18"/>
        <v>-125.29367347855381</v>
      </c>
      <c r="P105" s="11">
        <f t="shared" si="18"/>
        <v>-135.32608465295309</v>
      </c>
      <c r="Q105" s="11">
        <f t="shared" si="18"/>
        <v>-146.28101288219182</v>
      </c>
      <c r="R105" s="11">
        <f t="shared" si="18"/>
        <v>-158.11671895852882</v>
      </c>
      <c r="S105" s="11">
        <f t="shared" si="18"/>
        <v>-170.97785532763334</v>
      </c>
      <c r="T105" s="11">
        <f t="shared" si="18"/>
        <v>-184.79444829198107</v>
      </c>
      <c r="U105" s="11">
        <f t="shared" si="18"/>
        <v>-199.89019397780052</v>
      </c>
      <c r="V105" s="11">
        <f t="shared" si="18"/>
        <v>-216.21060960609282</v>
      </c>
      <c r="W105" s="11">
        <f t="shared" si="18"/>
        <v>-233.95599728230061</v>
      </c>
      <c r="X105" s="11">
        <f t="shared" si="18"/>
        <v>-253.03334568467477</v>
      </c>
    </row>
    <row r="106" spans="3:24" outlineLevel="1">
      <c r="D106" s="27" t="s">
        <v>77</v>
      </c>
      <c r="L106" s="18">
        <f>SUM(L103:L105)</f>
        <v>8.2191780821917746</v>
      </c>
      <c r="M106" s="18">
        <f t="shared" ref="M106:X106" si="19">SUM(M103:M105)</f>
        <v>8.8767123287671268</v>
      </c>
      <c r="N106" s="18">
        <f t="shared" si="19"/>
        <v>9.5884931506849256</v>
      </c>
      <c r="O106" s="18">
        <f t="shared" si="19"/>
        <v>10.330819672131128</v>
      </c>
      <c r="P106" s="18">
        <f t="shared" si="19"/>
        <v>11.193605819178089</v>
      </c>
      <c r="Q106" s="18">
        <f t="shared" si="19"/>
        <v>12.097379736986312</v>
      </c>
      <c r="R106" s="18">
        <f t="shared" si="19"/>
        <v>13.076358736257532</v>
      </c>
      <c r="S106" s="18">
        <f t="shared" si="19"/>
        <v>14.098347909944266</v>
      </c>
      <c r="T106" s="18">
        <f t="shared" si="19"/>
        <v>15.286217944660024</v>
      </c>
      <c r="U106" s="18">
        <f t="shared" si="19"/>
        <v>16.531699346251401</v>
      </c>
      <c r="V106" s="18">
        <f t="shared" si="19"/>
        <v>17.881693456105211</v>
      </c>
      <c r="W106" s="18">
        <f t="shared" si="19"/>
        <v>19.292348555910309</v>
      </c>
      <c r="X106" s="18">
        <f t="shared" si="19"/>
        <v>20.932029593620712</v>
      </c>
    </row>
    <row r="108" spans="3:24" s="29" customFormat="1" ht="12">
      <c r="C108" s="29" t="s">
        <v>78</v>
      </c>
    </row>
    <row r="109" spans="3:24" outlineLevel="1"/>
    <row r="110" spans="3:24" outlineLevel="1">
      <c r="D110" s="25" t="s">
        <v>79</v>
      </c>
    </row>
    <row r="111" spans="3:24" outlineLevel="1">
      <c r="D111" s="9" t="s">
        <v>39</v>
      </c>
      <c r="K111" s="49" t="s">
        <v>80</v>
      </c>
      <c r="L111" s="23">
        <v>60</v>
      </c>
      <c r="M111" s="23">
        <v>60</v>
      </c>
      <c r="N111" s="23">
        <v>60</v>
      </c>
      <c r="O111" s="23">
        <v>60</v>
      </c>
      <c r="P111" s="23">
        <v>60</v>
      </c>
      <c r="Q111" s="23">
        <v>60</v>
      </c>
      <c r="R111" s="23">
        <v>60</v>
      </c>
      <c r="S111" s="23">
        <v>60</v>
      </c>
      <c r="T111" s="23">
        <v>60</v>
      </c>
      <c r="U111" s="23">
        <v>60</v>
      </c>
      <c r="V111" s="23">
        <v>60</v>
      </c>
      <c r="W111" s="23">
        <v>60</v>
      </c>
      <c r="X111" s="23">
        <v>60</v>
      </c>
    </row>
    <row r="112" spans="3:24" outlineLevel="1"/>
    <row r="113" spans="2:24" outlineLevel="1">
      <c r="D113" s="27" t="s">
        <v>74</v>
      </c>
      <c r="L113" s="12">
        <v>10</v>
      </c>
      <c r="M113" s="11">
        <f>L116</f>
        <v>10.109589041095887</v>
      </c>
      <c r="N113" s="11">
        <f t="shared" ref="N113:X113" si="20">M116</f>
        <v>10.362328767123287</v>
      </c>
      <c r="O113" s="11">
        <f t="shared" si="20"/>
        <v>10.62138698630136</v>
      </c>
      <c r="P113" s="11">
        <f t="shared" si="20"/>
        <v>10.85717597336064</v>
      </c>
      <c r="Q113" s="11">
        <f t="shared" si="20"/>
        <v>11.159094702482875</v>
      </c>
      <c r="R113" s="11">
        <f t="shared" si="20"/>
        <v>11.438072070044939</v>
      </c>
      <c r="S113" s="11">
        <f t="shared" si="20"/>
        <v>11.724023871796064</v>
      </c>
      <c r="T113" s="11">
        <f t="shared" si="20"/>
        <v>11.984290795179504</v>
      </c>
      <c r="U113" s="11">
        <f t="shared" si="20"/>
        <v>12.317552580305744</v>
      </c>
      <c r="V113" s="11">
        <f t="shared" si="20"/>
        <v>12.62549139481338</v>
      </c>
      <c r="W113" s="11">
        <f>V116</f>
        <v>12.941128679683715</v>
      </c>
      <c r="X113" s="11">
        <f t="shared" si="20"/>
        <v>13.228414664717675</v>
      </c>
    </row>
    <row r="114" spans="2:24" outlineLevel="1">
      <c r="D114" s="27" t="s">
        <v>81</v>
      </c>
      <c r="L114" s="11">
        <f t="shared" ref="L114:X114" si="21">L400</f>
        <v>61.499999999999986</v>
      </c>
      <c r="M114" s="11">
        <f t="shared" si="21"/>
        <v>63.037499999999994</v>
      </c>
      <c r="N114" s="11">
        <f t="shared" si="21"/>
        <v>64.613437499999989</v>
      </c>
      <c r="O114" s="11">
        <f t="shared" si="21"/>
        <v>66.228773437499981</v>
      </c>
      <c r="P114" s="11">
        <f t="shared" si="21"/>
        <v>67.884492773437472</v>
      </c>
      <c r="Q114" s="11">
        <f t="shared" si="21"/>
        <v>69.581605092773401</v>
      </c>
      <c r="R114" s="11">
        <f t="shared" si="21"/>
        <v>71.321145220092745</v>
      </c>
      <c r="S114" s="11">
        <f t="shared" si="21"/>
        <v>73.104173850595046</v>
      </c>
      <c r="T114" s="11">
        <f t="shared" si="21"/>
        <v>74.931778196859909</v>
      </c>
      <c r="U114" s="11">
        <f t="shared" si="21"/>
        <v>76.805072651781416</v>
      </c>
      <c r="V114" s="11">
        <f t="shared" si="21"/>
        <v>78.725199468075928</v>
      </c>
      <c r="W114" s="11">
        <f t="shared" si="21"/>
        <v>80.693329454777825</v>
      </c>
      <c r="X114" s="11">
        <f t="shared" si="21"/>
        <v>82.710662691147263</v>
      </c>
    </row>
    <row r="115" spans="2:24" outlineLevel="1">
      <c r="D115" s="27" t="s">
        <v>82</v>
      </c>
      <c r="L115" s="11">
        <f>-L114*(1-L111/L$14)-L113</f>
        <v>-61.390410958904098</v>
      </c>
      <c r="M115" s="11">
        <f t="shared" ref="M115:X115" si="22">-M114*(1-M111/M$14)-M113</f>
        <v>-62.784760273972594</v>
      </c>
      <c r="N115" s="11">
        <f t="shared" si="22"/>
        <v>-64.354379280821917</v>
      </c>
      <c r="O115" s="11">
        <f t="shared" si="22"/>
        <v>-65.992984450440701</v>
      </c>
      <c r="P115" s="11">
        <f t="shared" si="22"/>
        <v>-67.582574044315237</v>
      </c>
      <c r="Q115" s="11">
        <f t="shared" si="22"/>
        <v>-69.302627725211337</v>
      </c>
      <c r="R115" s="11">
        <f t="shared" si="22"/>
        <v>-71.03519341834162</v>
      </c>
      <c r="S115" s="11">
        <f t="shared" si="22"/>
        <v>-72.843906927211606</v>
      </c>
      <c r="T115" s="11">
        <f t="shared" si="22"/>
        <v>-74.598516411733669</v>
      </c>
      <c r="U115" s="11">
        <f t="shared" si="22"/>
        <v>-76.497133837273779</v>
      </c>
      <c r="V115" s="11">
        <f t="shared" si="22"/>
        <v>-78.409562183205594</v>
      </c>
      <c r="W115" s="11">
        <f t="shared" si="22"/>
        <v>-80.406043469743864</v>
      </c>
      <c r="X115" s="11">
        <f t="shared" si="22"/>
        <v>-82.342804036772236</v>
      </c>
    </row>
    <row r="116" spans="2:24" outlineLevel="1">
      <c r="D116" s="27" t="s">
        <v>77</v>
      </c>
      <c r="L116" s="18">
        <f t="shared" ref="L116:X116" si="23">SUM(L113:L115)</f>
        <v>10.109589041095887</v>
      </c>
      <c r="M116" s="18">
        <f t="shared" si="23"/>
        <v>10.362328767123287</v>
      </c>
      <c r="N116" s="18">
        <f t="shared" si="23"/>
        <v>10.62138698630136</v>
      </c>
      <c r="O116" s="18">
        <f t="shared" si="23"/>
        <v>10.85717597336064</v>
      </c>
      <c r="P116" s="18">
        <f t="shared" si="23"/>
        <v>11.159094702482875</v>
      </c>
      <c r="Q116" s="18">
        <f t="shared" si="23"/>
        <v>11.438072070044939</v>
      </c>
      <c r="R116" s="18">
        <f t="shared" si="23"/>
        <v>11.724023871796064</v>
      </c>
      <c r="S116" s="18">
        <f t="shared" si="23"/>
        <v>11.984290795179504</v>
      </c>
      <c r="T116" s="18">
        <f t="shared" si="23"/>
        <v>12.317552580305744</v>
      </c>
      <c r="U116" s="18">
        <f t="shared" si="23"/>
        <v>12.62549139481338</v>
      </c>
      <c r="V116" s="18">
        <f t="shared" si="23"/>
        <v>12.941128679683715</v>
      </c>
      <c r="W116" s="18">
        <f t="shared" si="23"/>
        <v>13.228414664717675</v>
      </c>
      <c r="X116" s="18">
        <f t="shared" si="23"/>
        <v>13.596273319092703</v>
      </c>
    </row>
    <row r="117" spans="2:24" outlineLevel="1"/>
    <row r="118" spans="2:24" outlineLevel="1">
      <c r="D118" s="25" t="s">
        <v>83</v>
      </c>
    </row>
    <row r="119" spans="2:24" outlineLevel="1">
      <c r="D119" s="9" t="s">
        <v>50</v>
      </c>
      <c r="K119" s="49" t="s">
        <v>84</v>
      </c>
      <c r="L119" s="11">
        <f>L124/SUM(L121:L122)*L$14</f>
        <v>228.125</v>
      </c>
      <c r="M119" s="11">
        <f t="shared" ref="M119:X119" si="24">M124/SUM(M121:M122)*M$14</f>
        <v>165.90909090909091</v>
      </c>
      <c r="N119" s="11">
        <f t="shared" si="24"/>
        <v>110.60606060606061</v>
      </c>
      <c r="O119" s="11">
        <f t="shared" si="24"/>
        <v>85.116279069767444</v>
      </c>
      <c r="P119" s="11">
        <f t="shared" si="24"/>
        <v>110.60606060606061</v>
      </c>
      <c r="Q119" s="11">
        <f t="shared" si="24"/>
        <v>104.28571428571428</v>
      </c>
      <c r="R119" s="11">
        <f t="shared" si="24"/>
        <v>93.589743589743577</v>
      </c>
      <c r="S119" s="11">
        <f t="shared" si="24"/>
        <v>159.13043478260869</v>
      </c>
      <c r="T119" s="11">
        <f t="shared" si="24"/>
        <v>110.60606060606061</v>
      </c>
      <c r="U119" s="11">
        <f t="shared" si="24"/>
        <v>89.024390243902431</v>
      </c>
      <c r="V119" s="11">
        <f t="shared" si="24"/>
        <v>110.60606060606061</v>
      </c>
      <c r="W119" s="11">
        <f t="shared" si="24"/>
        <v>159.13043478260869</v>
      </c>
      <c r="X119" s="11">
        <f t="shared" si="24"/>
        <v>93.589743589743577</v>
      </c>
    </row>
    <row r="120" spans="2:24" outlineLevel="1"/>
    <row r="121" spans="2:24" outlineLevel="1">
      <c r="D121" s="27" t="s">
        <v>74</v>
      </c>
      <c r="L121" s="12">
        <v>10</v>
      </c>
      <c r="M121" s="11">
        <f>L124</f>
        <v>10</v>
      </c>
      <c r="N121" s="11">
        <f t="shared" ref="N121:X121" si="25">M124</f>
        <v>10</v>
      </c>
      <c r="O121" s="11">
        <f t="shared" si="25"/>
        <v>10</v>
      </c>
      <c r="P121" s="11">
        <f t="shared" si="25"/>
        <v>10</v>
      </c>
      <c r="Q121" s="11">
        <f t="shared" si="25"/>
        <v>10</v>
      </c>
      <c r="R121" s="11">
        <f t="shared" si="25"/>
        <v>10</v>
      </c>
      <c r="S121" s="11">
        <f t="shared" si="25"/>
        <v>10</v>
      </c>
      <c r="T121" s="11">
        <f t="shared" si="25"/>
        <v>10</v>
      </c>
      <c r="U121" s="11">
        <f t="shared" si="25"/>
        <v>10</v>
      </c>
      <c r="V121" s="11">
        <f t="shared" si="25"/>
        <v>10</v>
      </c>
      <c r="W121" s="11">
        <f>V124</f>
        <v>10</v>
      </c>
      <c r="X121" s="11">
        <f t="shared" si="25"/>
        <v>10</v>
      </c>
    </row>
    <row r="122" spans="2:24" outlineLevel="1">
      <c r="D122" s="27" t="s">
        <v>81</v>
      </c>
      <c r="L122" s="11">
        <f t="shared" ref="L122:X122" si="26">L411</f>
        <v>6</v>
      </c>
      <c r="M122" s="11">
        <f t="shared" si="26"/>
        <v>12</v>
      </c>
      <c r="N122" s="11">
        <f t="shared" si="26"/>
        <v>23</v>
      </c>
      <c r="O122" s="11">
        <f t="shared" si="26"/>
        <v>33</v>
      </c>
      <c r="P122" s="11">
        <f t="shared" si="26"/>
        <v>23</v>
      </c>
      <c r="Q122" s="11">
        <f t="shared" si="26"/>
        <v>25</v>
      </c>
      <c r="R122" s="11">
        <f t="shared" si="26"/>
        <v>29</v>
      </c>
      <c r="S122" s="11">
        <f t="shared" si="26"/>
        <v>13</v>
      </c>
      <c r="T122" s="11">
        <f t="shared" si="26"/>
        <v>23</v>
      </c>
      <c r="U122" s="11">
        <f t="shared" si="26"/>
        <v>31</v>
      </c>
      <c r="V122" s="11">
        <f t="shared" si="26"/>
        <v>23</v>
      </c>
      <c r="W122" s="11">
        <f t="shared" si="26"/>
        <v>13</v>
      </c>
      <c r="X122" s="11">
        <f t="shared" si="26"/>
        <v>29</v>
      </c>
    </row>
    <row r="123" spans="2:24" outlineLevel="1">
      <c r="D123" s="27" t="s">
        <v>82</v>
      </c>
      <c r="L123" s="11">
        <f t="shared" ref="L123:X123" si="27">L124-SUM(L121:L122)</f>
        <v>-6</v>
      </c>
      <c r="M123" s="11">
        <f t="shared" si="27"/>
        <v>-12</v>
      </c>
      <c r="N123" s="11">
        <f t="shared" si="27"/>
        <v>-23</v>
      </c>
      <c r="O123" s="11">
        <f t="shared" si="27"/>
        <v>-33</v>
      </c>
      <c r="P123" s="11">
        <f t="shared" si="27"/>
        <v>-23</v>
      </c>
      <c r="Q123" s="11">
        <f t="shared" si="27"/>
        <v>-25</v>
      </c>
      <c r="R123" s="11">
        <f t="shared" si="27"/>
        <v>-29</v>
      </c>
      <c r="S123" s="11">
        <f t="shared" si="27"/>
        <v>-13</v>
      </c>
      <c r="T123" s="11">
        <f t="shared" si="27"/>
        <v>-23</v>
      </c>
      <c r="U123" s="11">
        <f t="shared" si="27"/>
        <v>-31</v>
      </c>
      <c r="V123" s="11">
        <f t="shared" si="27"/>
        <v>-23</v>
      </c>
      <c r="W123" s="11">
        <f t="shared" si="27"/>
        <v>-13</v>
      </c>
      <c r="X123" s="11">
        <f t="shared" si="27"/>
        <v>-29</v>
      </c>
    </row>
    <row r="124" spans="2:24" outlineLevel="1">
      <c r="D124" s="27" t="s">
        <v>77</v>
      </c>
      <c r="L124" s="50">
        <v>10</v>
      </c>
      <c r="M124" s="50">
        <v>10</v>
      </c>
      <c r="N124" s="50">
        <v>10</v>
      </c>
      <c r="O124" s="50">
        <v>10</v>
      </c>
      <c r="P124" s="50">
        <v>10</v>
      </c>
      <c r="Q124" s="50">
        <v>10</v>
      </c>
      <c r="R124" s="50">
        <v>10</v>
      </c>
      <c r="S124" s="50">
        <v>10</v>
      </c>
      <c r="T124" s="50">
        <v>10</v>
      </c>
      <c r="U124" s="50">
        <v>10</v>
      </c>
      <c r="V124" s="50">
        <v>10</v>
      </c>
      <c r="W124" s="50">
        <v>10</v>
      </c>
      <c r="X124" s="50">
        <v>10</v>
      </c>
    </row>
    <row r="126" spans="2:24" s="7" customFormat="1" ht="12.75">
      <c r="B126" s="7" t="s">
        <v>85</v>
      </c>
    </row>
    <row r="127" spans="2:24" ht="4.5" customHeight="1"/>
    <row r="128" spans="2:24" s="29" customFormat="1" ht="12">
      <c r="C128" s="29" t="s">
        <v>86</v>
      </c>
    </row>
    <row r="129" spans="1:16384" s="29" customFormat="1" ht="11.25" hidden="1" customHeight="1" outlineLevel="1">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c r="AMK129"/>
      <c r="AML129"/>
      <c r="AMM129"/>
      <c r="AMN129"/>
      <c r="AMO129"/>
      <c r="AMP129"/>
      <c r="AMQ129"/>
      <c r="AMR129"/>
      <c r="AMS129"/>
      <c r="AMT129"/>
      <c r="AMU129"/>
      <c r="AMV129"/>
      <c r="AMW129"/>
      <c r="AMX129"/>
      <c r="AMY129"/>
      <c r="AMZ129"/>
      <c r="ANA129"/>
      <c r="ANB129"/>
      <c r="ANC129"/>
      <c r="AND129"/>
      <c r="ANE129"/>
      <c r="ANF129"/>
      <c r="ANG129"/>
      <c r="ANH129"/>
      <c r="ANI129"/>
      <c r="ANJ129"/>
      <c r="ANK129"/>
      <c r="ANL129"/>
      <c r="ANM129"/>
      <c r="ANN129"/>
      <c r="ANO129"/>
      <c r="ANP129"/>
      <c r="ANQ129"/>
      <c r="ANR129"/>
      <c r="ANS129"/>
      <c r="ANT129"/>
      <c r="ANU129"/>
      <c r="ANV129"/>
      <c r="ANW129"/>
      <c r="ANX129"/>
      <c r="ANY129"/>
      <c r="ANZ129"/>
      <c r="AOA129"/>
      <c r="AOB129"/>
      <c r="AOC129"/>
      <c r="AOD129"/>
      <c r="AOE129"/>
      <c r="AOF129"/>
      <c r="AOG129"/>
      <c r="AOH129"/>
      <c r="AOI129"/>
      <c r="AOJ129"/>
      <c r="AOK129"/>
      <c r="AOL129"/>
      <c r="AOM129"/>
      <c r="AON129"/>
      <c r="AOO129"/>
      <c r="AOP129"/>
      <c r="AOQ129"/>
      <c r="AOR129"/>
      <c r="AOS129"/>
      <c r="AOT129"/>
      <c r="AOU129"/>
      <c r="AOV129"/>
      <c r="AOW129"/>
      <c r="AOX129"/>
      <c r="AOY129"/>
      <c r="AOZ129"/>
      <c r="APA129"/>
      <c r="APB129"/>
      <c r="APC129"/>
      <c r="APD129"/>
      <c r="APE129"/>
      <c r="APF129"/>
      <c r="APG129"/>
      <c r="APH129"/>
      <c r="API129"/>
      <c r="APJ129"/>
      <c r="APK129"/>
      <c r="APL129"/>
      <c r="APM129"/>
      <c r="APN129"/>
      <c r="APO129"/>
      <c r="APP129"/>
      <c r="APQ129"/>
      <c r="APR129"/>
      <c r="APS129"/>
      <c r="APT129"/>
      <c r="APU129"/>
      <c r="APV129"/>
      <c r="APW129"/>
      <c r="APX129"/>
      <c r="APY129"/>
      <c r="APZ129"/>
      <c r="AQA129"/>
      <c r="AQB129"/>
      <c r="AQC129"/>
      <c r="AQD129"/>
      <c r="AQE129"/>
      <c r="AQF129"/>
      <c r="AQG129"/>
      <c r="AQH129"/>
      <c r="AQI129"/>
      <c r="AQJ129"/>
      <c r="AQK129"/>
      <c r="AQL129"/>
      <c r="AQM129"/>
      <c r="AQN129"/>
      <c r="AQO129"/>
      <c r="AQP129"/>
      <c r="AQQ129"/>
      <c r="AQR129"/>
      <c r="AQS129"/>
      <c r="AQT129"/>
      <c r="AQU129"/>
      <c r="AQV129"/>
      <c r="AQW129"/>
      <c r="AQX129"/>
      <c r="AQY129"/>
      <c r="AQZ129"/>
      <c r="ARA129"/>
      <c r="ARB129"/>
      <c r="ARC129"/>
      <c r="ARD129"/>
      <c r="ARE129"/>
      <c r="ARF129"/>
      <c r="ARG129"/>
      <c r="ARH129"/>
      <c r="ARI129"/>
      <c r="ARJ129"/>
      <c r="ARK129"/>
      <c r="ARL129"/>
      <c r="ARM129"/>
      <c r="ARN129"/>
      <c r="ARO129"/>
      <c r="ARP129"/>
      <c r="ARQ129"/>
      <c r="ARR129"/>
      <c r="ARS129"/>
      <c r="ART129"/>
      <c r="ARU129"/>
      <c r="ARV129"/>
      <c r="ARW129"/>
      <c r="ARX129"/>
      <c r="ARY129"/>
      <c r="ARZ129"/>
      <c r="ASA129"/>
      <c r="ASB129"/>
      <c r="ASC129"/>
      <c r="ASD129"/>
      <c r="ASE129"/>
      <c r="ASF129"/>
      <c r="ASG129"/>
      <c r="ASH129"/>
      <c r="ASI129"/>
      <c r="ASJ129"/>
      <c r="ASK129"/>
      <c r="ASL129"/>
      <c r="ASM129"/>
      <c r="ASN129"/>
      <c r="ASO129"/>
      <c r="ASP129"/>
      <c r="ASQ129"/>
      <c r="ASR129"/>
      <c r="ASS129"/>
      <c r="AST129"/>
      <c r="ASU129"/>
      <c r="ASV129"/>
      <c r="ASW129"/>
      <c r="ASX129"/>
      <c r="ASY129"/>
      <c r="ASZ129"/>
      <c r="ATA129"/>
      <c r="ATB129"/>
      <c r="ATC129"/>
      <c r="ATD129"/>
      <c r="ATE129"/>
      <c r="ATF129"/>
      <c r="ATG129"/>
      <c r="ATH129"/>
      <c r="ATI129"/>
      <c r="ATJ129"/>
      <c r="ATK129"/>
      <c r="ATL129"/>
      <c r="ATM129"/>
      <c r="ATN129"/>
      <c r="ATO129"/>
      <c r="ATP129"/>
      <c r="ATQ129"/>
      <c r="ATR129"/>
      <c r="ATS129"/>
      <c r="ATT129"/>
      <c r="ATU129"/>
      <c r="ATV129"/>
      <c r="ATW129"/>
      <c r="ATX129"/>
      <c r="ATY129"/>
      <c r="ATZ129"/>
      <c r="AUA129"/>
      <c r="AUB129"/>
      <c r="AUC129"/>
      <c r="AUD129"/>
      <c r="AUE129"/>
      <c r="AUF129"/>
      <c r="AUG129"/>
      <c r="AUH129"/>
      <c r="AUI129"/>
      <c r="AUJ129"/>
      <c r="AUK129"/>
      <c r="AUL129"/>
      <c r="AUM129"/>
      <c r="AUN129"/>
      <c r="AUO129"/>
      <c r="AUP129"/>
      <c r="AUQ129"/>
      <c r="AUR129"/>
      <c r="AUS129"/>
      <c r="AUT129"/>
      <c r="AUU129"/>
      <c r="AUV129"/>
      <c r="AUW129"/>
      <c r="AUX129"/>
      <c r="AUY129"/>
      <c r="AUZ129"/>
      <c r="AVA129"/>
      <c r="AVB129"/>
      <c r="AVC129"/>
      <c r="AVD129"/>
      <c r="AVE129"/>
      <c r="AVF129"/>
      <c r="AVG129"/>
      <c r="AVH129"/>
      <c r="AVI129"/>
      <c r="AVJ129"/>
      <c r="AVK129"/>
      <c r="AVL129"/>
      <c r="AVM129"/>
      <c r="AVN129"/>
      <c r="AVO129"/>
      <c r="AVP129"/>
      <c r="AVQ129"/>
      <c r="AVR129"/>
      <c r="AVS129"/>
      <c r="AVT129"/>
      <c r="AVU129"/>
      <c r="AVV129"/>
      <c r="AVW129"/>
      <c r="AVX129"/>
      <c r="AVY129"/>
      <c r="AVZ129"/>
      <c r="AWA129"/>
      <c r="AWB129"/>
      <c r="AWC129"/>
      <c r="AWD129"/>
      <c r="AWE129"/>
      <c r="AWF129"/>
      <c r="AWG129"/>
      <c r="AWH129"/>
      <c r="AWI129"/>
      <c r="AWJ129"/>
      <c r="AWK129"/>
      <c r="AWL129"/>
      <c r="AWM129"/>
      <c r="AWN129"/>
      <c r="AWO129"/>
      <c r="AWP129"/>
      <c r="AWQ129"/>
      <c r="AWR129"/>
      <c r="AWS129"/>
      <c r="AWT129"/>
      <c r="AWU129"/>
      <c r="AWV129"/>
      <c r="AWW129"/>
      <c r="AWX129"/>
      <c r="AWY129"/>
      <c r="AWZ129"/>
      <c r="AXA129"/>
      <c r="AXB129"/>
      <c r="AXC129"/>
      <c r="AXD129"/>
      <c r="AXE129"/>
      <c r="AXF129"/>
      <c r="AXG129"/>
      <c r="AXH129"/>
      <c r="AXI129"/>
      <c r="AXJ129"/>
      <c r="AXK129"/>
      <c r="AXL129"/>
      <c r="AXM129"/>
      <c r="AXN129"/>
      <c r="AXO129"/>
      <c r="AXP129"/>
      <c r="AXQ129"/>
      <c r="AXR129"/>
      <c r="AXS129"/>
      <c r="AXT129"/>
      <c r="AXU129"/>
      <c r="AXV129"/>
      <c r="AXW129"/>
      <c r="AXX129"/>
      <c r="AXY129"/>
      <c r="AXZ129"/>
      <c r="AYA129"/>
      <c r="AYB129"/>
      <c r="AYC129"/>
      <c r="AYD129"/>
      <c r="AYE129"/>
      <c r="AYF129"/>
      <c r="AYG129"/>
      <c r="AYH129"/>
      <c r="AYI129"/>
      <c r="AYJ129"/>
      <c r="AYK129"/>
      <c r="AYL129"/>
      <c r="AYM129"/>
      <c r="AYN129"/>
      <c r="AYO129"/>
      <c r="AYP129"/>
      <c r="AYQ129"/>
      <c r="AYR129"/>
      <c r="AYS129"/>
      <c r="AYT129"/>
      <c r="AYU129"/>
      <c r="AYV129"/>
      <c r="AYW129"/>
      <c r="AYX129"/>
      <c r="AYY129"/>
      <c r="AYZ129"/>
      <c r="AZA129"/>
      <c r="AZB129"/>
      <c r="AZC129"/>
      <c r="AZD129"/>
      <c r="AZE129"/>
      <c r="AZF129"/>
      <c r="AZG129"/>
      <c r="AZH129"/>
      <c r="AZI129"/>
      <c r="AZJ129"/>
      <c r="AZK129"/>
      <c r="AZL129"/>
      <c r="AZM129"/>
      <c r="AZN129"/>
      <c r="AZO129"/>
      <c r="AZP129"/>
      <c r="AZQ129"/>
      <c r="AZR129"/>
      <c r="AZS129"/>
      <c r="AZT129"/>
      <c r="AZU129"/>
      <c r="AZV129"/>
      <c r="AZW129"/>
      <c r="AZX129"/>
      <c r="AZY129"/>
      <c r="AZZ129"/>
      <c r="BAA129"/>
      <c r="BAB129"/>
      <c r="BAC129"/>
      <c r="BAD129"/>
      <c r="BAE129"/>
      <c r="BAF129"/>
      <c r="BAG129"/>
      <c r="BAH129"/>
      <c r="BAI129"/>
      <c r="BAJ129"/>
      <c r="BAK129"/>
      <c r="BAL129"/>
      <c r="BAM129"/>
      <c r="BAN129"/>
      <c r="BAO129"/>
      <c r="BAP129"/>
      <c r="BAQ129"/>
      <c r="BAR129"/>
      <c r="BAS129"/>
      <c r="BAT129"/>
      <c r="BAU129"/>
      <c r="BAV129"/>
      <c r="BAW129"/>
      <c r="BAX129"/>
      <c r="BAY129"/>
      <c r="BAZ129"/>
      <c r="BBA129"/>
      <c r="BBB129"/>
      <c r="BBC129"/>
      <c r="BBD129"/>
      <c r="BBE129"/>
      <c r="BBF129"/>
      <c r="BBG129"/>
      <c r="BBH129"/>
      <c r="BBI129"/>
      <c r="BBJ129"/>
      <c r="BBK129"/>
      <c r="BBL129"/>
      <c r="BBM129"/>
      <c r="BBN129"/>
      <c r="BBO129"/>
      <c r="BBP129"/>
      <c r="BBQ129"/>
      <c r="BBR129"/>
      <c r="BBS129"/>
      <c r="BBT129"/>
      <c r="BBU129"/>
      <c r="BBV129"/>
      <c r="BBW129"/>
      <c r="BBX129"/>
      <c r="BBY129"/>
      <c r="BBZ129"/>
      <c r="BCA129"/>
      <c r="BCB129"/>
      <c r="BCC129"/>
      <c r="BCD129"/>
      <c r="BCE129"/>
      <c r="BCF129"/>
      <c r="BCG129"/>
      <c r="BCH129"/>
      <c r="BCI129"/>
      <c r="BCJ129"/>
      <c r="BCK129"/>
      <c r="BCL129"/>
      <c r="BCM129"/>
      <c r="BCN129"/>
      <c r="BCO129"/>
      <c r="BCP129"/>
      <c r="BCQ129"/>
      <c r="BCR129"/>
      <c r="BCS129"/>
      <c r="BCT129"/>
      <c r="BCU129"/>
      <c r="BCV129"/>
      <c r="BCW129"/>
      <c r="BCX129"/>
      <c r="BCY129"/>
      <c r="BCZ129"/>
      <c r="BDA129"/>
      <c r="BDB129"/>
      <c r="BDC129"/>
      <c r="BDD129"/>
      <c r="BDE129"/>
      <c r="BDF129"/>
      <c r="BDG129"/>
      <c r="BDH129"/>
      <c r="BDI129"/>
      <c r="BDJ129"/>
      <c r="BDK129"/>
      <c r="BDL129"/>
      <c r="BDM129"/>
      <c r="BDN129"/>
      <c r="BDO129"/>
      <c r="BDP129"/>
      <c r="BDQ129"/>
      <c r="BDR129"/>
      <c r="BDS129"/>
      <c r="BDT129"/>
      <c r="BDU129"/>
      <c r="BDV129"/>
      <c r="BDW129"/>
      <c r="BDX129"/>
      <c r="BDY129"/>
      <c r="BDZ129"/>
      <c r="BEA129"/>
      <c r="BEB129"/>
      <c r="BEC129"/>
      <c r="BED129"/>
      <c r="BEE129"/>
      <c r="BEF129"/>
      <c r="BEG129"/>
      <c r="BEH129"/>
      <c r="BEI129"/>
      <c r="BEJ129"/>
      <c r="BEK129"/>
      <c r="BEL129"/>
      <c r="BEM129"/>
      <c r="BEN129"/>
      <c r="BEO129"/>
      <c r="BEP129"/>
      <c r="BEQ129"/>
      <c r="BER129"/>
      <c r="BES129"/>
      <c r="BET129"/>
      <c r="BEU129"/>
      <c r="BEV129"/>
      <c r="BEW129"/>
      <c r="BEX129"/>
      <c r="BEY129"/>
      <c r="BEZ129"/>
      <c r="BFA129"/>
      <c r="BFB129"/>
      <c r="BFC129"/>
      <c r="BFD129"/>
      <c r="BFE129"/>
      <c r="BFF129"/>
      <c r="BFG129"/>
      <c r="BFH129"/>
      <c r="BFI129"/>
      <c r="BFJ129"/>
      <c r="BFK129"/>
      <c r="BFL129"/>
      <c r="BFM129"/>
      <c r="BFN129"/>
      <c r="BFO129"/>
      <c r="BFP129"/>
      <c r="BFQ129"/>
      <c r="BFR129"/>
      <c r="BFS129"/>
      <c r="BFT129"/>
      <c r="BFU129"/>
      <c r="BFV129"/>
      <c r="BFW129"/>
      <c r="BFX129"/>
      <c r="BFY129"/>
      <c r="BFZ129"/>
      <c r="BGA129"/>
      <c r="BGB129"/>
      <c r="BGC129"/>
      <c r="BGD129"/>
      <c r="BGE129"/>
      <c r="BGF129"/>
      <c r="BGG129"/>
      <c r="BGH129"/>
      <c r="BGI129"/>
      <c r="BGJ129"/>
      <c r="BGK129"/>
      <c r="BGL129"/>
      <c r="BGM129"/>
      <c r="BGN129"/>
      <c r="BGO129"/>
      <c r="BGP129"/>
      <c r="BGQ129"/>
      <c r="BGR129"/>
      <c r="BGS129"/>
      <c r="BGT129"/>
      <c r="BGU129"/>
      <c r="BGV129"/>
      <c r="BGW129"/>
      <c r="BGX129"/>
      <c r="BGY129"/>
      <c r="BGZ129"/>
      <c r="BHA129"/>
      <c r="BHB129"/>
      <c r="BHC129"/>
      <c r="BHD129"/>
      <c r="BHE129"/>
      <c r="BHF129"/>
      <c r="BHG129"/>
      <c r="BHH129"/>
      <c r="BHI129"/>
      <c r="BHJ129"/>
      <c r="BHK129"/>
      <c r="BHL129"/>
      <c r="BHM129"/>
      <c r="BHN129"/>
      <c r="BHO129"/>
      <c r="BHP129"/>
      <c r="BHQ129"/>
      <c r="BHR129"/>
      <c r="BHS129"/>
      <c r="BHT129"/>
      <c r="BHU129"/>
      <c r="BHV129"/>
      <c r="BHW129"/>
      <c r="BHX129"/>
      <c r="BHY129"/>
      <c r="BHZ129"/>
      <c r="BIA129"/>
      <c r="BIB129"/>
      <c r="BIC129"/>
      <c r="BID129"/>
      <c r="BIE129"/>
      <c r="BIF129"/>
      <c r="BIG129"/>
      <c r="BIH129"/>
      <c r="BII129"/>
      <c r="BIJ129"/>
      <c r="BIK129"/>
      <c r="BIL129"/>
      <c r="BIM129"/>
      <c r="BIN129"/>
      <c r="BIO129"/>
      <c r="BIP129"/>
      <c r="BIQ129"/>
      <c r="BIR129"/>
      <c r="BIS129"/>
      <c r="BIT129"/>
      <c r="BIU129"/>
      <c r="BIV129"/>
      <c r="BIW129"/>
      <c r="BIX129"/>
      <c r="BIY129"/>
      <c r="BIZ129"/>
      <c r="BJA129"/>
      <c r="BJB129"/>
      <c r="BJC129"/>
      <c r="BJD129"/>
      <c r="BJE129"/>
      <c r="BJF129"/>
      <c r="BJG129"/>
      <c r="BJH129"/>
      <c r="BJI129"/>
      <c r="BJJ129"/>
      <c r="BJK129"/>
      <c r="BJL129"/>
      <c r="BJM129"/>
      <c r="BJN129"/>
      <c r="BJO129"/>
      <c r="BJP129"/>
      <c r="BJQ129"/>
      <c r="BJR129"/>
      <c r="BJS129"/>
      <c r="BJT129"/>
      <c r="BJU129"/>
      <c r="BJV129"/>
      <c r="BJW129"/>
      <c r="BJX129"/>
      <c r="BJY129"/>
      <c r="BJZ129"/>
      <c r="BKA129"/>
      <c r="BKB129"/>
      <c r="BKC129"/>
      <c r="BKD129"/>
      <c r="BKE129"/>
      <c r="BKF129"/>
      <c r="BKG129"/>
      <c r="BKH129"/>
      <c r="BKI129"/>
      <c r="BKJ129"/>
      <c r="BKK129"/>
      <c r="BKL129"/>
      <c r="BKM129"/>
      <c r="BKN129"/>
      <c r="BKO129"/>
      <c r="BKP129"/>
      <c r="BKQ129"/>
      <c r="BKR129"/>
      <c r="BKS129"/>
      <c r="BKT129"/>
      <c r="BKU129"/>
      <c r="BKV129"/>
      <c r="BKW129"/>
      <c r="BKX129"/>
      <c r="BKY129"/>
      <c r="BKZ129"/>
      <c r="BLA129"/>
      <c r="BLB129"/>
      <c r="BLC129"/>
      <c r="BLD129"/>
      <c r="BLE129"/>
      <c r="BLF129"/>
      <c r="BLG129"/>
      <c r="BLH129"/>
      <c r="BLI129"/>
      <c r="BLJ129"/>
      <c r="BLK129"/>
      <c r="BLL129"/>
      <c r="BLM129"/>
      <c r="BLN129"/>
      <c r="BLO129"/>
      <c r="BLP129"/>
      <c r="BLQ129"/>
      <c r="BLR129"/>
      <c r="BLS129"/>
      <c r="BLT129"/>
      <c r="BLU129"/>
      <c r="BLV129"/>
      <c r="BLW129"/>
      <c r="BLX129"/>
      <c r="BLY129"/>
      <c r="BLZ129"/>
      <c r="BMA129"/>
      <c r="BMB129"/>
      <c r="BMC129"/>
      <c r="BMD129"/>
      <c r="BME129"/>
      <c r="BMF129"/>
      <c r="BMG129"/>
      <c r="BMH129"/>
      <c r="BMI129"/>
      <c r="BMJ129"/>
      <c r="BMK129"/>
      <c r="BML129"/>
      <c r="BMM129"/>
      <c r="BMN129"/>
      <c r="BMO129"/>
      <c r="BMP129"/>
      <c r="BMQ129"/>
      <c r="BMR129"/>
      <c r="BMS129"/>
      <c r="BMT129"/>
      <c r="BMU129"/>
      <c r="BMV129"/>
      <c r="BMW129"/>
      <c r="BMX129"/>
      <c r="BMY129"/>
      <c r="BMZ129"/>
      <c r="BNA129"/>
      <c r="BNB129"/>
      <c r="BNC129"/>
      <c r="BND129"/>
      <c r="BNE129"/>
      <c r="BNF129"/>
      <c r="BNG129"/>
      <c r="BNH129"/>
      <c r="BNI129"/>
      <c r="BNJ129"/>
      <c r="BNK129"/>
      <c r="BNL129"/>
      <c r="BNM129"/>
      <c r="BNN129"/>
      <c r="BNO129"/>
      <c r="BNP129"/>
      <c r="BNQ129"/>
      <c r="BNR129"/>
      <c r="BNS129"/>
      <c r="BNT129"/>
      <c r="BNU129"/>
      <c r="BNV129"/>
      <c r="BNW129"/>
      <c r="BNX129"/>
      <c r="BNY129"/>
      <c r="BNZ129"/>
      <c r="BOA129"/>
      <c r="BOB129"/>
      <c r="BOC129"/>
      <c r="BOD129"/>
      <c r="BOE129"/>
      <c r="BOF129"/>
      <c r="BOG129"/>
      <c r="BOH129"/>
      <c r="BOI129"/>
      <c r="BOJ129"/>
      <c r="BOK129"/>
      <c r="BOL129"/>
      <c r="BOM129"/>
      <c r="BON129"/>
      <c r="BOO129"/>
      <c r="BOP129"/>
      <c r="BOQ129"/>
      <c r="BOR129"/>
      <c r="BOS129"/>
      <c r="BOT129"/>
      <c r="BOU129"/>
      <c r="BOV129"/>
      <c r="BOW129"/>
      <c r="BOX129"/>
      <c r="BOY129"/>
      <c r="BOZ129"/>
      <c r="BPA129"/>
      <c r="BPB129"/>
      <c r="BPC129"/>
      <c r="BPD129"/>
      <c r="BPE129"/>
      <c r="BPF129"/>
      <c r="BPG129"/>
      <c r="BPH129"/>
      <c r="BPI129"/>
      <c r="BPJ129"/>
      <c r="BPK129"/>
      <c r="BPL129"/>
      <c r="BPM129"/>
      <c r="BPN129"/>
      <c r="BPO129"/>
      <c r="BPP129"/>
      <c r="BPQ129"/>
      <c r="BPR129"/>
      <c r="BPS129"/>
      <c r="BPT129"/>
      <c r="BPU129"/>
      <c r="BPV129"/>
      <c r="BPW129"/>
      <c r="BPX129"/>
      <c r="BPY129"/>
      <c r="BPZ129"/>
      <c r="BQA129"/>
      <c r="BQB129"/>
      <c r="BQC129"/>
      <c r="BQD129"/>
      <c r="BQE129"/>
      <c r="BQF129"/>
      <c r="BQG129"/>
      <c r="BQH129"/>
      <c r="BQI129"/>
      <c r="BQJ129"/>
      <c r="BQK129"/>
      <c r="BQL129"/>
      <c r="BQM129"/>
      <c r="BQN129"/>
      <c r="BQO129"/>
      <c r="BQP129"/>
      <c r="BQQ129"/>
      <c r="BQR129"/>
      <c r="BQS129"/>
      <c r="BQT129"/>
      <c r="BQU129"/>
      <c r="BQV129"/>
      <c r="BQW129"/>
      <c r="BQX129"/>
      <c r="BQY129"/>
      <c r="BQZ129"/>
      <c r="BRA129"/>
      <c r="BRB129"/>
      <c r="BRC129"/>
      <c r="BRD129"/>
      <c r="BRE129"/>
      <c r="BRF129"/>
      <c r="BRG129"/>
      <c r="BRH129"/>
      <c r="BRI129"/>
      <c r="BRJ129"/>
      <c r="BRK129"/>
      <c r="BRL129"/>
      <c r="BRM129"/>
      <c r="BRN129"/>
      <c r="BRO129"/>
      <c r="BRP129"/>
      <c r="BRQ129"/>
      <c r="BRR129"/>
      <c r="BRS129"/>
      <c r="BRT129"/>
      <c r="BRU129"/>
      <c r="BRV129"/>
      <c r="BRW129"/>
      <c r="BRX129"/>
      <c r="BRY129"/>
      <c r="BRZ129"/>
      <c r="BSA129"/>
      <c r="BSB129"/>
      <c r="BSC129"/>
      <c r="BSD129"/>
      <c r="BSE129"/>
      <c r="BSF129"/>
      <c r="BSG129"/>
      <c r="BSH129"/>
      <c r="BSI129"/>
      <c r="BSJ129"/>
      <c r="BSK129"/>
      <c r="BSL129"/>
      <c r="BSM129"/>
      <c r="BSN129"/>
      <c r="BSO129"/>
      <c r="BSP129"/>
      <c r="BSQ129"/>
      <c r="BSR129"/>
      <c r="BSS129"/>
      <c r="BST129"/>
      <c r="BSU129"/>
      <c r="BSV129"/>
      <c r="BSW129"/>
      <c r="BSX129"/>
      <c r="BSY129"/>
      <c r="BSZ129"/>
      <c r="BTA129"/>
      <c r="BTB129"/>
      <c r="BTC129"/>
      <c r="BTD129"/>
      <c r="BTE129"/>
      <c r="BTF129"/>
      <c r="BTG129"/>
      <c r="BTH129"/>
      <c r="BTI129"/>
      <c r="BTJ129"/>
      <c r="BTK129"/>
      <c r="BTL129"/>
      <c r="BTM129"/>
      <c r="BTN129"/>
      <c r="BTO129"/>
      <c r="BTP129"/>
      <c r="BTQ129"/>
      <c r="BTR129"/>
      <c r="BTS129"/>
      <c r="BTT129"/>
      <c r="BTU129"/>
      <c r="BTV129"/>
      <c r="BTW129"/>
      <c r="BTX129"/>
      <c r="BTY129"/>
      <c r="BTZ129"/>
      <c r="BUA129"/>
      <c r="BUB129"/>
      <c r="BUC129"/>
      <c r="BUD129"/>
      <c r="BUE129"/>
      <c r="BUF129"/>
      <c r="BUG129"/>
      <c r="BUH129"/>
      <c r="BUI129"/>
      <c r="BUJ129"/>
      <c r="BUK129"/>
      <c r="BUL129"/>
      <c r="BUM129"/>
      <c r="BUN129"/>
      <c r="BUO129"/>
      <c r="BUP129"/>
      <c r="BUQ129"/>
      <c r="BUR129"/>
      <c r="BUS129"/>
      <c r="BUT129"/>
      <c r="BUU129"/>
      <c r="BUV129"/>
      <c r="BUW129"/>
      <c r="BUX129"/>
      <c r="BUY129"/>
      <c r="BUZ129"/>
      <c r="BVA129"/>
      <c r="BVB129"/>
      <c r="BVC129"/>
      <c r="BVD129"/>
      <c r="BVE129"/>
      <c r="BVF129"/>
      <c r="BVG129"/>
      <c r="BVH129"/>
      <c r="BVI129"/>
      <c r="BVJ129"/>
      <c r="BVK129"/>
      <c r="BVL129"/>
      <c r="BVM129"/>
      <c r="BVN129"/>
      <c r="BVO129"/>
      <c r="BVP129"/>
      <c r="BVQ129"/>
      <c r="BVR129"/>
      <c r="BVS129"/>
      <c r="BVT129"/>
      <c r="BVU129"/>
      <c r="BVV129"/>
      <c r="BVW129"/>
      <c r="BVX129"/>
      <c r="BVY129"/>
      <c r="BVZ129"/>
      <c r="BWA129"/>
      <c r="BWB129"/>
      <c r="BWC129"/>
      <c r="BWD129"/>
      <c r="BWE129"/>
      <c r="BWF129"/>
      <c r="BWG129"/>
      <c r="BWH129"/>
      <c r="BWI129"/>
      <c r="BWJ129"/>
      <c r="BWK129"/>
      <c r="BWL129"/>
      <c r="BWM129"/>
      <c r="BWN129"/>
      <c r="BWO129"/>
      <c r="BWP129"/>
      <c r="BWQ129"/>
      <c r="BWR129"/>
      <c r="BWS129"/>
      <c r="BWT129"/>
      <c r="BWU129"/>
      <c r="BWV129"/>
      <c r="BWW129"/>
      <c r="BWX129"/>
      <c r="BWY129"/>
      <c r="BWZ129"/>
      <c r="BXA129"/>
      <c r="BXB129"/>
      <c r="BXC129"/>
      <c r="BXD129"/>
      <c r="BXE129"/>
      <c r="BXF129"/>
      <c r="BXG129"/>
      <c r="BXH129"/>
      <c r="BXI129"/>
      <c r="BXJ129"/>
      <c r="BXK129"/>
      <c r="BXL129"/>
      <c r="BXM129"/>
      <c r="BXN129"/>
      <c r="BXO129"/>
      <c r="BXP129"/>
      <c r="BXQ129"/>
      <c r="BXR129"/>
      <c r="BXS129"/>
      <c r="BXT129"/>
      <c r="BXU129"/>
      <c r="BXV129"/>
      <c r="BXW129"/>
      <c r="BXX129"/>
      <c r="BXY129"/>
      <c r="BXZ129"/>
      <c r="BYA129"/>
      <c r="BYB129"/>
      <c r="BYC129"/>
      <c r="BYD129"/>
      <c r="BYE129"/>
      <c r="BYF129"/>
      <c r="BYG129"/>
      <c r="BYH129"/>
      <c r="BYI129"/>
      <c r="BYJ129"/>
      <c r="BYK129"/>
      <c r="BYL129"/>
      <c r="BYM129"/>
      <c r="BYN129"/>
      <c r="BYO129"/>
      <c r="BYP129"/>
      <c r="BYQ129"/>
      <c r="BYR129"/>
      <c r="BYS129"/>
      <c r="BYT129"/>
      <c r="BYU129"/>
      <c r="BYV129"/>
      <c r="BYW129"/>
      <c r="BYX129"/>
      <c r="BYY129"/>
      <c r="BYZ129"/>
      <c r="BZA129"/>
      <c r="BZB129"/>
      <c r="BZC129"/>
      <c r="BZD129"/>
      <c r="BZE129"/>
      <c r="BZF129"/>
      <c r="BZG129"/>
      <c r="BZH129"/>
      <c r="BZI129"/>
      <c r="BZJ129"/>
      <c r="BZK129"/>
      <c r="BZL129"/>
      <c r="BZM129"/>
      <c r="BZN129"/>
      <c r="BZO129"/>
      <c r="BZP129"/>
      <c r="BZQ129"/>
      <c r="BZR129"/>
      <c r="BZS129"/>
      <c r="BZT129"/>
      <c r="BZU129"/>
      <c r="BZV129"/>
      <c r="BZW129"/>
      <c r="BZX129"/>
      <c r="BZY129"/>
      <c r="BZZ129"/>
      <c r="CAA129"/>
      <c r="CAB129"/>
      <c r="CAC129"/>
      <c r="CAD129"/>
      <c r="CAE129"/>
      <c r="CAF129"/>
      <c r="CAG129"/>
      <c r="CAH129"/>
      <c r="CAI129"/>
      <c r="CAJ129"/>
      <c r="CAK129"/>
      <c r="CAL129"/>
      <c r="CAM129"/>
      <c r="CAN129"/>
      <c r="CAO129"/>
      <c r="CAP129"/>
      <c r="CAQ129"/>
      <c r="CAR129"/>
      <c r="CAS129"/>
      <c r="CAT129"/>
      <c r="CAU129"/>
      <c r="CAV129"/>
      <c r="CAW129"/>
      <c r="CAX129"/>
      <c r="CAY129"/>
      <c r="CAZ129"/>
      <c r="CBA129"/>
      <c r="CBB129"/>
      <c r="CBC129"/>
      <c r="CBD129"/>
      <c r="CBE129"/>
      <c r="CBF129"/>
      <c r="CBG129"/>
      <c r="CBH129"/>
      <c r="CBI129"/>
      <c r="CBJ129"/>
      <c r="CBK129"/>
      <c r="CBL129"/>
      <c r="CBM129"/>
      <c r="CBN129"/>
      <c r="CBO129"/>
      <c r="CBP129"/>
      <c r="CBQ129"/>
      <c r="CBR129"/>
      <c r="CBS129"/>
      <c r="CBT129"/>
      <c r="CBU129"/>
      <c r="CBV129"/>
      <c r="CBW129"/>
      <c r="CBX129"/>
      <c r="CBY129"/>
      <c r="CBZ129"/>
      <c r="CCA129"/>
      <c r="CCB129"/>
      <c r="CCC129"/>
      <c r="CCD129"/>
      <c r="CCE129"/>
      <c r="CCF129"/>
      <c r="CCG129"/>
      <c r="CCH129"/>
      <c r="CCI129"/>
      <c r="CCJ129"/>
      <c r="CCK129"/>
      <c r="CCL129"/>
      <c r="CCM129"/>
      <c r="CCN129"/>
      <c r="CCO129"/>
      <c r="CCP129"/>
      <c r="CCQ129"/>
      <c r="CCR129"/>
      <c r="CCS129"/>
      <c r="CCT129"/>
      <c r="CCU129"/>
      <c r="CCV129"/>
      <c r="CCW129"/>
      <c r="CCX129"/>
      <c r="CCY129"/>
      <c r="CCZ129"/>
      <c r="CDA129"/>
      <c r="CDB129"/>
      <c r="CDC129"/>
      <c r="CDD129"/>
      <c r="CDE129"/>
      <c r="CDF129"/>
      <c r="CDG129"/>
      <c r="CDH129"/>
      <c r="CDI129"/>
      <c r="CDJ129"/>
      <c r="CDK129"/>
      <c r="CDL129"/>
      <c r="CDM129"/>
      <c r="CDN129"/>
      <c r="CDO129"/>
      <c r="CDP129"/>
      <c r="CDQ129"/>
      <c r="CDR129"/>
      <c r="CDS129"/>
      <c r="CDT129"/>
      <c r="CDU129"/>
      <c r="CDV129"/>
      <c r="CDW129"/>
      <c r="CDX129"/>
      <c r="CDY129"/>
      <c r="CDZ129"/>
      <c r="CEA129"/>
      <c r="CEB129"/>
      <c r="CEC129"/>
      <c r="CED129"/>
      <c r="CEE129"/>
      <c r="CEF129"/>
      <c r="CEG129"/>
      <c r="CEH129"/>
      <c r="CEI129"/>
      <c r="CEJ129"/>
      <c r="CEK129"/>
      <c r="CEL129"/>
      <c r="CEM129"/>
      <c r="CEN129"/>
      <c r="CEO129"/>
      <c r="CEP129"/>
      <c r="CEQ129"/>
      <c r="CER129"/>
      <c r="CES129"/>
      <c r="CET129"/>
      <c r="CEU129"/>
      <c r="CEV129"/>
      <c r="CEW129"/>
      <c r="CEX129"/>
      <c r="CEY129"/>
      <c r="CEZ129"/>
      <c r="CFA129"/>
      <c r="CFB129"/>
      <c r="CFC129"/>
      <c r="CFD129"/>
      <c r="CFE129"/>
      <c r="CFF129"/>
      <c r="CFG129"/>
      <c r="CFH129"/>
      <c r="CFI129"/>
      <c r="CFJ129"/>
      <c r="CFK129"/>
      <c r="CFL129"/>
      <c r="CFM129"/>
      <c r="CFN129"/>
      <c r="CFO129"/>
      <c r="CFP129"/>
      <c r="CFQ129"/>
      <c r="CFR129"/>
      <c r="CFS129"/>
      <c r="CFT129"/>
      <c r="CFU129"/>
      <c r="CFV129"/>
      <c r="CFW129"/>
      <c r="CFX129"/>
      <c r="CFY129"/>
      <c r="CFZ129"/>
      <c r="CGA129"/>
      <c r="CGB129"/>
      <c r="CGC129"/>
      <c r="CGD129"/>
      <c r="CGE129"/>
      <c r="CGF129"/>
      <c r="CGG129"/>
      <c r="CGH129"/>
      <c r="CGI129"/>
      <c r="CGJ129"/>
      <c r="CGK129"/>
      <c r="CGL129"/>
      <c r="CGM129"/>
      <c r="CGN129"/>
      <c r="CGO129"/>
      <c r="CGP129"/>
      <c r="CGQ129"/>
      <c r="CGR129"/>
      <c r="CGS129"/>
      <c r="CGT129"/>
      <c r="CGU129"/>
      <c r="CGV129"/>
      <c r="CGW129"/>
      <c r="CGX129"/>
      <c r="CGY129"/>
      <c r="CGZ129"/>
      <c r="CHA129"/>
      <c r="CHB129"/>
      <c r="CHC129"/>
      <c r="CHD129"/>
      <c r="CHE129"/>
      <c r="CHF129"/>
      <c r="CHG129"/>
      <c r="CHH129"/>
      <c r="CHI129"/>
      <c r="CHJ129"/>
      <c r="CHK129"/>
      <c r="CHL129"/>
      <c r="CHM129"/>
      <c r="CHN129"/>
      <c r="CHO129"/>
      <c r="CHP129"/>
      <c r="CHQ129"/>
      <c r="CHR129"/>
      <c r="CHS129"/>
      <c r="CHT129"/>
      <c r="CHU129"/>
      <c r="CHV129"/>
      <c r="CHW129"/>
      <c r="CHX129"/>
      <c r="CHY129"/>
      <c r="CHZ129"/>
      <c r="CIA129"/>
      <c r="CIB129"/>
      <c r="CIC129"/>
      <c r="CID129"/>
      <c r="CIE129"/>
      <c r="CIF129"/>
      <c r="CIG129"/>
      <c r="CIH129"/>
      <c r="CII129"/>
      <c r="CIJ129"/>
      <c r="CIK129"/>
      <c r="CIL129"/>
      <c r="CIM129"/>
      <c r="CIN129"/>
      <c r="CIO129"/>
      <c r="CIP129"/>
      <c r="CIQ129"/>
      <c r="CIR129"/>
      <c r="CIS129"/>
      <c r="CIT129"/>
      <c r="CIU129"/>
      <c r="CIV129"/>
      <c r="CIW129"/>
      <c r="CIX129"/>
      <c r="CIY129"/>
      <c r="CIZ129"/>
      <c r="CJA129"/>
      <c r="CJB129"/>
      <c r="CJC129"/>
      <c r="CJD129"/>
      <c r="CJE129"/>
      <c r="CJF129"/>
      <c r="CJG129"/>
      <c r="CJH129"/>
      <c r="CJI129"/>
      <c r="CJJ129"/>
      <c r="CJK129"/>
      <c r="CJL129"/>
      <c r="CJM129"/>
      <c r="CJN129"/>
      <c r="CJO129"/>
      <c r="CJP129"/>
      <c r="CJQ129"/>
      <c r="CJR129"/>
      <c r="CJS129"/>
      <c r="CJT129"/>
      <c r="CJU129"/>
      <c r="CJV129"/>
      <c r="CJW129"/>
      <c r="CJX129"/>
      <c r="CJY129"/>
      <c r="CJZ129"/>
      <c r="CKA129"/>
      <c r="CKB129"/>
      <c r="CKC129"/>
      <c r="CKD129"/>
      <c r="CKE129"/>
      <c r="CKF129"/>
      <c r="CKG129"/>
      <c r="CKH129"/>
      <c r="CKI129"/>
      <c r="CKJ129"/>
      <c r="CKK129"/>
      <c r="CKL129"/>
      <c r="CKM129"/>
      <c r="CKN129"/>
      <c r="CKO129"/>
      <c r="CKP129"/>
      <c r="CKQ129"/>
      <c r="CKR129"/>
      <c r="CKS129"/>
      <c r="CKT129"/>
      <c r="CKU129"/>
      <c r="CKV129"/>
      <c r="CKW129"/>
      <c r="CKX129"/>
      <c r="CKY129"/>
      <c r="CKZ129"/>
      <c r="CLA129"/>
      <c r="CLB129"/>
      <c r="CLC129"/>
      <c r="CLD129"/>
      <c r="CLE129"/>
      <c r="CLF129"/>
      <c r="CLG129"/>
      <c r="CLH129"/>
      <c r="CLI129"/>
      <c r="CLJ129"/>
      <c r="CLK129"/>
      <c r="CLL129"/>
      <c r="CLM129"/>
      <c r="CLN129"/>
      <c r="CLO129"/>
      <c r="CLP129"/>
      <c r="CLQ129"/>
      <c r="CLR129"/>
      <c r="CLS129"/>
      <c r="CLT129"/>
      <c r="CLU129"/>
      <c r="CLV129"/>
      <c r="CLW129"/>
      <c r="CLX129"/>
      <c r="CLY129"/>
      <c r="CLZ129"/>
      <c r="CMA129"/>
      <c r="CMB129"/>
      <c r="CMC129"/>
      <c r="CMD129"/>
      <c r="CME129"/>
      <c r="CMF129"/>
      <c r="CMG129"/>
      <c r="CMH129"/>
      <c r="CMI129"/>
      <c r="CMJ129"/>
      <c r="CMK129"/>
      <c r="CML129"/>
      <c r="CMM129"/>
      <c r="CMN129"/>
      <c r="CMO129"/>
      <c r="CMP129"/>
      <c r="CMQ129"/>
      <c r="CMR129"/>
      <c r="CMS129"/>
      <c r="CMT129"/>
      <c r="CMU129"/>
      <c r="CMV129"/>
      <c r="CMW129"/>
      <c r="CMX129"/>
      <c r="CMY129"/>
      <c r="CMZ129"/>
      <c r="CNA129"/>
      <c r="CNB129"/>
      <c r="CNC129"/>
      <c r="CND129"/>
      <c r="CNE129"/>
      <c r="CNF129"/>
      <c r="CNG129"/>
      <c r="CNH129"/>
      <c r="CNI129"/>
      <c r="CNJ129"/>
      <c r="CNK129"/>
      <c r="CNL129"/>
      <c r="CNM129"/>
      <c r="CNN129"/>
      <c r="CNO129"/>
      <c r="CNP129"/>
      <c r="CNQ129"/>
      <c r="CNR129"/>
      <c r="CNS129"/>
      <c r="CNT129"/>
      <c r="CNU129"/>
      <c r="CNV129"/>
      <c r="CNW129"/>
      <c r="CNX129"/>
      <c r="CNY129"/>
      <c r="CNZ129"/>
      <c r="COA129"/>
      <c r="COB129"/>
      <c r="COC129"/>
      <c r="COD129"/>
      <c r="COE129"/>
      <c r="COF129"/>
      <c r="COG129"/>
      <c r="COH129"/>
      <c r="COI129"/>
      <c r="COJ129"/>
      <c r="COK129"/>
      <c r="COL129"/>
      <c r="COM129"/>
      <c r="CON129"/>
      <c r="COO129"/>
      <c r="COP129"/>
      <c r="COQ129"/>
      <c r="COR129"/>
      <c r="COS129"/>
      <c r="COT129"/>
      <c r="COU129"/>
      <c r="COV129"/>
      <c r="COW129"/>
      <c r="COX129"/>
      <c r="COY129"/>
      <c r="COZ129"/>
      <c r="CPA129"/>
      <c r="CPB129"/>
      <c r="CPC129"/>
      <c r="CPD129"/>
      <c r="CPE129"/>
      <c r="CPF129"/>
      <c r="CPG129"/>
      <c r="CPH129"/>
      <c r="CPI129"/>
      <c r="CPJ129"/>
      <c r="CPK129"/>
      <c r="CPL129"/>
      <c r="CPM129"/>
      <c r="CPN129"/>
      <c r="CPO129"/>
      <c r="CPP129"/>
      <c r="CPQ129"/>
      <c r="CPR129"/>
      <c r="CPS129"/>
      <c r="CPT129"/>
      <c r="CPU129"/>
      <c r="CPV129"/>
      <c r="CPW129"/>
      <c r="CPX129"/>
      <c r="CPY129"/>
      <c r="CPZ129"/>
      <c r="CQA129"/>
      <c r="CQB129"/>
      <c r="CQC129"/>
      <c r="CQD129"/>
      <c r="CQE129"/>
      <c r="CQF129"/>
      <c r="CQG129"/>
      <c r="CQH129"/>
      <c r="CQI129"/>
      <c r="CQJ129"/>
      <c r="CQK129"/>
      <c r="CQL129"/>
      <c r="CQM129"/>
      <c r="CQN129"/>
      <c r="CQO129"/>
      <c r="CQP129"/>
      <c r="CQQ129"/>
      <c r="CQR129"/>
      <c r="CQS129"/>
      <c r="CQT129"/>
      <c r="CQU129"/>
      <c r="CQV129"/>
      <c r="CQW129"/>
      <c r="CQX129"/>
      <c r="CQY129"/>
      <c r="CQZ129"/>
      <c r="CRA129"/>
      <c r="CRB129"/>
      <c r="CRC129"/>
      <c r="CRD129"/>
      <c r="CRE129"/>
      <c r="CRF129"/>
      <c r="CRG129"/>
      <c r="CRH129"/>
      <c r="CRI129"/>
      <c r="CRJ129"/>
      <c r="CRK129"/>
      <c r="CRL129"/>
      <c r="CRM129"/>
      <c r="CRN129"/>
      <c r="CRO129"/>
      <c r="CRP129"/>
      <c r="CRQ129"/>
      <c r="CRR129"/>
      <c r="CRS129"/>
      <c r="CRT129"/>
      <c r="CRU129"/>
      <c r="CRV129"/>
      <c r="CRW129"/>
      <c r="CRX129"/>
      <c r="CRY129"/>
      <c r="CRZ129"/>
      <c r="CSA129"/>
      <c r="CSB129"/>
      <c r="CSC129"/>
      <c r="CSD129"/>
      <c r="CSE129"/>
      <c r="CSF129"/>
      <c r="CSG129"/>
      <c r="CSH129"/>
      <c r="CSI129"/>
      <c r="CSJ129"/>
      <c r="CSK129"/>
      <c r="CSL129"/>
      <c r="CSM129"/>
      <c r="CSN129"/>
      <c r="CSO129"/>
      <c r="CSP129"/>
      <c r="CSQ129"/>
      <c r="CSR129"/>
      <c r="CSS129"/>
      <c r="CST129"/>
      <c r="CSU129"/>
      <c r="CSV129"/>
      <c r="CSW129"/>
      <c r="CSX129"/>
      <c r="CSY129"/>
      <c r="CSZ129"/>
      <c r="CTA129"/>
      <c r="CTB129"/>
      <c r="CTC129"/>
      <c r="CTD129"/>
      <c r="CTE129"/>
      <c r="CTF129"/>
      <c r="CTG129"/>
      <c r="CTH129"/>
      <c r="CTI129"/>
      <c r="CTJ129"/>
      <c r="CTK129"/>
      <c r="CTL129"/>
      <c r="CTM129"/>
      <c r="CTN129"/>
      <c r="CTO129"/>
      <c r="CTP129"/>
      <c r="CTQ129"/>
      <c r="CTR129"/>
      <c r="CTS129"/>
      <c r="CTT129"/>
      <c r="CTU129"/>
      <c r="CTV129"/>
      <c r="CTW129"/>
      <c r="CTX129"/>
      <c r="CTY129"/>
      <c r="CTZ129"/>
      <c r="CUA129"/>
      <c r="CUB129"/>
      <c r="CUC129"/>
      <c r="CUD129"/>
      <c r="CUE129"/>
      <c r="CUF129"/>
      <c r="CUG129"/>
      <c r="CUH129"/>
      <c r="CUI129"/>
      <c r="CUJ129"/>
      <c r="CUK129"/>
      <c r="CUL129"/>
      <c r="CUM129"/>
      <c r="CUN129"/>
      <c r="CUO129"/>
      <c r="CUP129"/>
      <c r="CUQ129"/>
      <c r="CUR129"/>
      <c r="CUS129"/>
      <c r="CUT129"/>
      <c r="CUU129"/>
      <c r="CUV129"/>
      <c r="CUW129"/>
      <c r="CUX129"/>
      <c r="CUY129"/>
      <c r="CUZ129"/>
      <c r="CVA129"/>
      <c r="CVB129"/>
      <c r="CVC129"/>
      <c r="CVD129"/>
      <c r="CVE129"/>
      <c r="CVF129"/>
      <c r="CVG129"/>
      <c r="CVH129"/>
      <c r="CVI129"/>
      <c r="CVJ129"/>
      <c r="CVK129"/>
      <c r="CVL129"/>
      <c r="CVM129"/>
      <c r="CVN129"/>
      <c r="CVO129"/>
      <c r="CVP129"/>
      <c r="CVQ129"/>
      <c r="CVR129"/>
      <c r="CVS129"/>
      <c r="CVT129"/>
      <c r="CVU129"/>
      <c r="CVV129"/>
      <c r="CVW129"/>
      <c r="CVX129"/>
      <c r="CVY129"/>
      <c r="CVZ129"/>
      <c r="CWA129"/>
      <c r="CWB129"/>
      <c r="CWC129"/>
      <c r="CWD129"/>
      <c r="CWE129"/>
      <c r="CWF129"/>
      <c r="CWG129"/>
      <c r="CWH129"/>
      <c r="CWI129"/>
      <c r="CWJ129"/>
      <c r="CWK129"/>
      <c r="CWL129"/>
      <c r="CWM129"/>
      <c r="CWN129"/>
      <c r="CWO129"/>
      <c r="CWP129"/>
      <c r="CWQ129"/>
      <c r="CWR129"/>
      <c r="CWS129"/>
      <c r="CWT129"/>
      <c r="CWU129"/>
      <c r="CWV129"/>
      <c r="CWW129"/>
      <c r="CWX129"/>
      <c r="CWY129"/>
      <c r="CWZ129"/>
      <c r="CXA129"/>
      <c r="CXB129"/>
      <c r="CXC129"/>
      <c r="CXD129"/>
      <c r="CXE129"/>
      <c r="CXF129"/>
      <c r="CXG129"/>
      <c r="CXH129"/>
      <c r="CXI129"/>
      <c r="CXJ129"/>
      <c r="CXK129"/>
      <c r="CXL129"/>
      <c r="CXM129"/>
      <c r="CXN129"/>
      <c r="CXO129"/>
      <c r="CXP129"/>
      <c r="CXQ129"/>
      <c r="CXR129"/>
      <c r="CXS129"/>
      <c r="CXT129"/>
      <c r="CXU129"/>
      <c r="CXV129"/>
      <c r="CXW129"/>
      <c r="CXX129"/>
      <c r="CXY129"/>
      <c r="CXZ129"/>
      <c r="CYA129"/>
      <c r="CYB129"/>
      <c r="CYC129"/>
      <c r="CYD129"/>
      <c r="CYE129"/>
      <c r="CYF129"/>
      <c r="CYG129"/>
      <c r="CYH129"/>
      <c r="CYI129"/>
      <c r="CYJ129"/>
      <c r="CYK129"/>
      <c r="CYL129"/>
      <c r="CYM129"/>
      <c r="CYN129"/>
      <c r="CYO129"/>
      <c r="CYP129"/>
      <c r="CYQ129"/>
      <c r="CYR129"/>
      <c r="CYS129"/>
      <c r="CYT129"/>
      <c r="CYU129"/>
      <c r="CYV129"/>
      <c r="CYW129"/>
      <c r="CYX129"/>
      <c r="CYY129"/>
      <c r="CYZ129"/>
      <c r="CZA129"/>
      <c r="CZB129"/>
      <c r="CZC129"/>
      <c r="CZD129"/>
      <c r="CZE129"/>
      <c r="CZF129"/>
      <c r="CZG129"/>
      <c r="CZH129"/>
      <c r="CZI129"/>
      <c r="CZJ129"/>
      <c r="CZK129"/>
      <c r="CZL129"/>
      <c r="CZM129"/>
      <c r="CZN129"/>
      <c r="CZO129"/>
      <c r="CZP129"/>
      <c r="CZQ129"/>
      <c r="CZR129"/>
      <c r="CZS129"/>
      <c r="CZT129"/>
      <c r="CZU129"/>
      <c r="CZV129"/>
      <c r="CZW129"/>
      <c r="CZX129"/>
      <c r="CZY129"/>
      <c r="CZZ129"/>
      <c r="DAA129"/>
      <c r="DAB129"/>
      <c r="DAC129"/>
      <c r="DAD129"/>
      <c r="DAE129"/>
      <c r="DAF129"/>
      <c r="DAG129"/>
      <c r="DAH129"/>
      <c r="DAI129"/>
      <c r="DAJ129"/>
      <c r="DAK129"/>
      <c r="DAL129"/>
      <c r="DAM129"/>
      <c r="DAN129"/>
      <c r="DAO129"/>
      <c r="DAP129"/>
      <c r="DAQ129"/>
      <c r="DAR129"/>
      <c r="DAS129"/>
      <c r="DAT129"/>
      <c r="DAU129"/>
      <c r="DAV129"/>
      <c r="DAW129"/>
      <c r="DAX129"/>
      <c r="DAY129"/>
      <c r="DAZ129"/>
      <c r="DBA129"/>
      <c r="DBB129"/>
      <c r="DBC129"/>
      <c r="DBD129"/>
      <c r="DBE129"/>
      <c r="DBF129"/>
      <c r="DBG129"/>
      <c r="DBH129"/>
      <c r="DBI129"/>
      <c r="DBJ129"/>
      <c r="DBK129"/>
      <c r="DBL129"/>
      <c r="DBM129"/>
      <c r="DBN129"/>
      <c r="DBO129"/>
      <c r="DBP129"/>
      <c r="DBQ129"/>
      <c r="DBR129"/>
      <c r="DBS129"/>
      <c r="DBT129"/>
      <c r="DBU129"/>
      <c r="DBV129"/>
      <c r="DBW129"/>
      <c r="DBX129"/>
      <c r="DBY129"/>
      <c r="DBZ129"/>
      <c r="DCA129"/>
      <c r="DCB129"/>
      <c r="DCC129"/>
      <c r="DCD129"/>
      <c r="DCE129"/>
      <c r="DCF129"/>
      <c r="DCG129"/>
      <c r="DCH129"/>
      <c r="DCI129"/>
      <c r="DCJ129"/>
      <c r="DCK129"/>
      <c r="DCL129"/>
      <c r="DCM129"/>
      <c r="DCN129"/>
      <c r="DCO129"/>
      <c r="DCP129"/>
      <c r="DCQ129"/>
      <c r="DCR129"/>
      <c r="DCS129"/>
      <c r="DCT129"/>
      <c r="DCU129"/>
      <c r="DCV129"/>
      <c r="DCW129"/>
      <c r="DCX129"/>
      <c r="DCY129"/>
      <c r="DCZ129"/>
      <c r="DDA129"/>
      <c r="DDB129"/>
      <c r="DDC129"/>
      <c r="DDD129"/>
      <c r="DDE129"/>
      <c r="DDF129"/>
      <c r="DDG129"/>
      <c r="DDH129"/>
      <c r="DDI129"/>
      <c r="DDJ129"/>
      <c r="DDK129"/>
      <c r="DDL129"/>
      <c r="DDM129"/>
      <c r="DDN129"/>
      <c r="DDO129"/>
      <c r="DDP129"/>
      <c r="DDQ129"/>
      <c r="DDR129"/>
      <c r="DDS129"/>
      <c r="DDT129"/>
      <c r="DDU129"/>
      <c r="DDV129"/>
      <c r="DDW129"/>
      <c r="DDX129"/>
      <c r="DDY129"/>
      <c r="DDZ129"/>
      <c r="DEA129"/>
      <c r="DEB129"/>
      <c r="DEC129"/>
      <c r="DED129"/>
      <c r="DEE129"/>
      <c r="DEF129"/>
      <c r="DEG129"/>
      <c r="DEH129"/>
      <c r="DEI129"/>
      <c r="DEJ129"/>
      <c r="DEK129"/>
      <c r="DEL129"/>
      <c r="DEM129"/>
      <c r="DEN129"/>
      <c r="DEO129"/>
      <c r="DEP129"/>
      <c r="DEQ129"/>
      <c r="DER129"/>
      <c r="DES129"/>
      <c r="DET129"/>
      <c r="DEU129"/>
      <c r="DEV129"/>
      <c r="DEW129"/>
      <c r="DEX129"/>
      <c r="DEY129"/>
      <c r="DEZ129"/>
      <c r="DFA129"/>
      <c r="DFB129"/>
      <c r="DFC129"/>
      <c r="DFD129"/>
      <c r="DFE129"/>
      <c r="DFF129"/>
      <c r="DFG129"/>
      <c r="DFH129"/>
      <c r="DFI129"/>
      <c r="DFJ129"/>
      <c r="DFK129"/>
      <c r="DFL129"/>
      <c r="DFM129"/>
      <c r="DFN129"/>
      <c r="DFO129"/>
      <c r="DFP129"/>
      <c r="DFQ129"/>
      <c r="DFR129"/>
      <c r="DFS129"/>
      <c r="DFT129"/>
      <c r="DFU129"/>
      <c r="DFV129"/>
      <c r="DFW129"/>
      <c r="DFX129"/>
      <c r="DFY129"/>
      <c r="DFZ129"/>
      <c r="DGA129"/>
      <c r="DGB129"/>
      <c r="DGC129"/>
      <c r="DGD129"/>
      <c r="DGE129"/>
      <c r="DGF129"/>
      <c r="DGG129"/>
      <c r="DGH129"/>
      <c r="DGI129"/>
      <c r="DGJ129"/>
      <c r="DGK129"/>
      <c r="DGL129"/>
      <c r="DGM129"/>
      <c r="DGN129"/>
      <c r="DGO129"/>
      <c r="DGP129"/>
      <c r="DGQ129"/>
      <c r="DGR129"/>
      <c r="DGS129"/>
      <c r="DGT129"/>
      <c r="DGU129"/>
      <c r="DGV129"/>
      <c r="DGW129"/>
      <c r="DGX129"/>
      <c r="DGY129"/>
      <c r="DGZ129"/>
      <c r="DHA129"/>
      <c r="DHB129"/>
      <c r="DHC129"/>
      <c r="DHD129"/>
      <c r="DHE129"/>
      <c r="DHF129"/>
      <c r="DHG129"/>
      <c r="DHH129"/>
      <c r="DHI129"/>
      <c r="DHJ129"/>
      <c r="DHK129"/>
      <c r="DHL129"/>
      <c r="DHM129"/>
      <c r="DHN129"/>
      <c r="DHO129"/>
      <c r="DHP129"/>
      <c r="DHQ129"/>
      <c r="DHR129"/>
      <c r="DHS129"/>
      <c r="DHT129"/>
      <c r="DHU129"/>
      <c r="DHV129"/>
      <c r="DHW129"/>
      <c r="DHX129"/>
      <c r="DHY129"/>
      <c r="DHZ129"/>
      <c r="DIA129"/>
      <c r="DIB129"/>
      <c r="DIC129"/>
      <c r="DID129"/>
      <c r="DIE129"/>
      <c r="DIF129"/>
      <c r="DIG129"/>
      <c r="DIH129"/>
      <c r="DII129"/>
      <c r="DIJ129"/>
      <c r="DIK129"/>
      <c r="DIL129"/>
      <c r="DIM129"/>
      <c r="DIN129"/>
      <c r="DIO129"/>
      <c r="DIP129"/>
      <c r="DIQ129"/>
      <c r="DIR129"/>
      <c r="DIS129"/>
      <c r="DIT129"/>
      <c r="DIU129"/>
      <c r="DIV129"/>
      <c r="DIW129"/>
      <c r="DIX129"/>
      <c r="DIY129"/>
      <c r="DIZ129"/>
      <c r="DJA129"/>
      <c r="DJB129"/>
      <c r="DJC129"/>
      <c r="DJD129"/>
      <c r="DJE129"/>
      <c r="DJF129"/>
      <c r="DJG129"/>
      <c r="DJH129"/>
      <c r="DJI129"/>
      <c r="DJJ129"/>
      <c r="DJK129"/>
      <c r="DJL129"/>
      <c r="DJM129"/>
      <c r="DJN129"/>
      <c r="DJO129"/>
      <c r="DJP129"/>
      <c r="DJQ129"/>
      <c r="DJR129"/>
      <c r="DJS129"/>
      <c r="DJT129"/>
      <c r="DJU129"/>
      <c r="DJV129"/>
      <c r="DJW129"/>
      <c r="DJX129"/>
      <c r="DJY129"/>
      <c r="DJZ129"/>
      <c r="DKA129"/>
      <c r="DKB129"/>
      <c r="DKC129"/>
      <c r="DKD129"/>
      <c r="DKE129"/>
      <c r="DKF129"/>
      <c r="DKG129"/>
      <c r="DKH129"/>
      <c r="DKI129"/>
      <c r="DKJ129"/>
      <c r="DKK129"/>
      <c r="DKL129"/>
      <c r="DKM129"/>
      <c r="DKN129"/>
      <c r="DKO129"/>
      <c r="DKP129"/>
      <c r="DKQ129"/>
      <c r="DKR129"/>
      <c r="DKS129"/>
      <c r="DKT129"/>
      <c r="DKU129"/>
      <c r="DKV129"/>
      <c r="DKW129"/>
      <c r="DKX129"/>
      <c r="DKY129"/>
      <c r="DKZ129"/>
      <c r="DLA129"/>
      <c r="DLB129"/>
      <c r="DLC129"/>
      <c r="DLD129"/>
      <c r="DLE129"/>
      <c r="DLF129"/>
      <c r="DLG129"/>
      <c r="DLH129"/>
      <c r="DLI129"/>
      <c r="DLJ129"/>
      <c r="DLK129"/>
      <c r="DLL129"/>
      <c r="DLM129"/>
      <c r="DLN129"/>
      <c r="DLO129"/>
      <c r="DLP129"/>
      <c r="DLQ129"/>
      <c r="DLR129"/>
      <c r="DLS129"/>
      <c r="DLT129"/>
      <c r="DLU129"/>
      <c r="DLV129"/>
      <c r="DLW129"/>
      <c r="DLX129"/>
      <c r="DLY129"/>
      <c r="DLZ129"/>
      <c r="DMA129"/>
      <c r="DMB129"/>
      <c r="DMC129"/>
      <c r="DMD129"/>
      <c r="DME129"/>
      <c r="DMF129"/>
      <c r="DMG129"/>
      <c r="DMH129"/>
      <c r="DMI129"/>
      <c r="DMJ129"/>
      <c r="DMK129"/>
      <c r="DML129"/>
      <c r="DMM129"/>
      <c r="DMN129"/>
      <c r="DMO129"/>
      <c r="DMP129"/>
      <c r="DMQ129"/>
      <c r="DMR129"/>
      <c r="DMS129"/>
      <c r="DMT129"/>
      <c r="DMU129"/>
      <c r="DMV129"/>
      <c r="DMW129"/>
      <c r="DMX129"/>
      <c r="DMY129"/>
      <c r="DMZ129"/>
      <c r="DNA129"/>
      <c r="DNB129"/>
      <c r="DNC129"/>
      <c r="DND129"/>
      <c r="DNE129"/>
      <c r="DNF129"/>
      <c r="DNG129"/>
      <c r="DNH129"/>
      <c r="DNI129"/>
      <c r="DNJ129"/>
      <c r="DNK129"/>
      <c r="DNL129"/>
      <c r="DNM129"/>
      <c r="DNN129"/>
      <c r="DNO129"/>
      <c r="DNP129"/>
      <c r="DNQ129"/>
      <c r="DNR129"/>
      <c r="DNS129"/>
      <c r="DNT129"/>
      <c r="DNU129"/>
      <c r="DNV129"/>
      <c r="DNW129"/>
      <c r="DNX129"/>
      <c r="DNY129"/>
      <c r="DNZ129"/>
      <c r="DOA129"/>
      <c r="DOB129"/>
      <c r="DOC129"/>
      <c r="DOD129"/>
      <c r="DOE129"/>
      <c r="DOF129"/>
      <c r="DOG129"/>
      <c r="DOH129"/>
      <c r="DOI129"/>
      <c r="DOJ129"/>
      <c r="DOK129"/>
      <c r="DOL129"/>
      <c r="DOM129"/>
      <c r="DON129"/>
      <c r="DOO129"/>
      <c r="DOP129"/>
      <c r="DOQ129"/>
      <c r="DOR129"/>
      <c r="DOS129"/>
      <c r="DOT129"/>
      <c r="DOU129"/>
      <c r="DOV129"/>
      <c r="DOW129"/>
      <c r="DOX129"/>
      <c r="DOY129"/>
      <c r="DOZ129"/>
      <c r="DPA129"/>
      <c r="DPB129"/>
      <c r="DPC129"/>
      <c r="DPD129"/>
      <c r="DPE129"/>
      <c r="DPF129"/>
      <c r="DPG129"/>
      <c r="DPH129"/>
      <c r="DPI129"/>
      <c r="DPJ129"/>
      <c r="DPK129"/>
      <c r="DPL129"/>
      <c r="DPM129"/>
      <c r="DPN129"/>
      <c r="DPO129"/>
      <c r="DPP129"/>
      <c r="DPQ129"/>
      <c r="DPR129"/>
      <c r="DPS129"/>
      <c r="DPT129"/>
      <c r="DPU129"/>
      <c r="DPV129"/>
      <c r="DPW129"/>
      <c r="DPX129"/>
      <c r="DPY129"/>
      <c r="DPZ129"/>
      <c r="DQA129"/>
      <c r="DQB129"/>
      <c r="DQC129"/>
      <c r="DQD129"/>
      <c r="DQE129"/>
      <c r="DQF129"/>
      <c r="DQG129"/>
      <c r="DQH129"/>
      <c r="DQI129"/>
      <c r="DQJ129"/>
      <c r="DQK129"/>
      <c r="DQL129"/>
      <c r="DQM129"/>
      <c r="DQN129"/>
      <c r="DQO129"/>
      <c r="DQP129"/>
      <c r="DQQ129"/>
      <c r="DQR129"/>
      <c r="DQS129"/>
      <c r="DQT129"/>
      <c r="DQU129"/>
      <c r="DQV129"/>
      <c r="DQW129"/>
      <c r="DQX129"/>
      <c r="DQY129"/>
      <c r="DQZ129"/>
      <c r="DRA129"/>
      <c r="DRB129"/>
      <c r="DRC129"/>
      <c r="DRD129"/>
      <c r="DRE129"/>
      <c r="DRF129"/>
      <c r="DRG129"/>
      <c r="DRH129"/>
      <c r="DRI129"/>
      <c r="DRJ129"/>
      <c r="DRK129"/>
      <c r="DRL129"/>
      <c r="DRM129"/>
      <c r="DRN129"/>
      <c r="DRO129"/>
      <c r="DRP129"/>
      <c r="DRQ129"/>
      <c r="DRR129"/>
      <c r="DRS129"/>
      <c r="DRT129"/>
      <c r="DRU129"/>
      <c r="DRV129"/>
      <c r="DRW129"/>
      <c r="DRX129"/>
      <c r="DRY129"/>
      <c r="DRZ129"/>
      <c r="DSA129"/>
      <c r="DSB129"/>
      <c r="DSC129"/>
      <c r="DSD129"/>
      <c r="DSE129"/>
      <c r="DSF129"/>
      <c r="DSG129"/>
      <c r="DSH129"/>
      <c r="DSI129"/>
      <c r="DSJ129"/>
      <c r="DSK129"/>
      <c r="DSL129"/>
      <c r="DSM129"/>
      <c r="DSN129"/>
      <c r="DSO129"/>
      <c r="DSP129"/>
      <c r="DSQ129"/>
      <c r="DSR129"/>
      <c r="DSS129"/>
      <c r="DST129"/>
      <c r="DSU129"/>
      <c r="DSV129"/>
      <c r="DSW129"/>
      <c r="DSX129"/>
      <c r="DSY129"/>
      <c r="DSZ129"/>
      <c r="DTA129"/>
      <c r="DTB129"/>
      <c r="DTC129"/>
      <c r="DTD129"/>
      <c r="DTE129"/>
      <c r="DTF129"/>
      <c r="DTG129"/>
      <c r="DTH129"/>
      <c r="DTI129"/>
      <c r="DTJ129"/>
      <c r="DTK129"/>
      <c r="DTL129"/>
      <c r="DTM129"/>
      <c r="DTN129"/>
      <c r="DTO129"/>
      <c r="DTP129"/>
      <c r="DTQ129"/>
      <c r="DTR129"/>
      <c r="DTS129"/>
      <c r="DTT129"/>
      <c r="DTU129"/>
      <c r="DTV129"/>
      <c r="DTW129"/>
      <c r="DTX129"/>
      <c r="DTY129"/>
      <c r="DTZ129"/>
      <c r="DUA129"/>
      <c r="DUB129"/>
      <c r="DUC129"/>
      <c r="DUD129"/>
      <c r="DUE129"/>
      <c r="DUF129"/>
      <c r="DUG129"/>
      <c r="DUH129"/>
      <c r="DUI129"/>
      <c r="DUJ129"/>
      <c r="DUK129"/>
      <c r="DUL129"/>
      <c r="DUM129"/>
      <c r="DUN129"/>
      <c r="DUO129"/>
      <c r="DUP129"/>
      <c r="DUQ129"/>
      <c r="DUR129"/>
      <c r="DUS129"/>
      <c r="DUT129"/>
      <c r="DUU129"/>
      <c r="DUV129"/>
      <c r="DUW129"/>
      <c r="DUX129"/>
      <c r="DUY129"/>
      <c r="DUZ129"/>
      <c r="DVA129"/>
      <c r="DVB129"/>
      <c r="DVC129"/>
      <c r="DVD129"/>
      <c r="DVE129"/>
      <c r="DVF129"/>
      <c r="DVG129"/>
      <c r="DVH129"/>
      <c r="DVI129"/>
      <c r="DVJ129"/>
      <c r="DVK129"/>
      <c r="DVL129"/>
      <c r="DVM129"/>
      <c r="DVN129"/>
      <c r="DVO129"/>
      <c r="DVP129"/>
      <c r="DVQ129"/>
      <c r="DVR129"/>
      <c r="DVS129"/>
      <c r="DVT129"/>
      <c r="DVU129"/>
      <c r="DVV129"/>
      <c r="DVW129"/>
      <c r="DVX129"/>
      <c r="DVY129"/>
      <c r="DVZ129"/>
      <c r="DWA129"/>
      <c r="DWB129"/>
      <c r="DWC129"/>
      <c r="DWD129"/>
      <c r="DWE129"/>
      <c r="DWF129"/>
      <c r="DWG129"/>
      <c r="DWH129"/>
      <c r="DWI129"/>
      <c r="DWJ129"/>
      <c r="DWK129"/>
      <c r="DWL129"/>
      <c r="DWM129"/>
      <c r="DWN129"/>
      <c r="DWO129"/>
      <c r="DWP129"/>
      <c r="DWQ129"/>
      <c r="DWR129"/>
      <c r="DWS129"/>
      <c r="DWT129"/>
      <c r="DWU129"/>
      <c r="DWV129"/>
      <c r="DWW129"/>
      <c r="DWX129"/>
      <c r="DWY129"/>
      <c r="DWZ129"/>
      <c r="DXA129"/>
      <c r="DXB129"/>
      <c r="DXC129"/>
      <c r="DXD129"/>
      <c r="DXE129"/>
      <c r="DXF129"/>
      <c r="DXG129"/>
      <c r="DXH129"/>
      <c r="DXI129"/>
      <c r="DXJ129"/>
      <c r="DXK129"/>
      <c r="DXL129"/>
      <c r="DXM129"/>
      <c r="DXN129"/>
      <c r="DXO129"/>
      <c r="DXP129"/>
      <c r="DXQ129"/>
      <c r="DXR129"/>
      <c r="DXS129"/>
      <c r="DXT129"/>
      <c r="DXU129"/>
      <c r="DXV129"/>
      <c r="DXW129"/>
      <c r="DXX129"/>
      <c r="DXY129"/>
      <c r="DXZ129"/>
      <c r="DYA129"/>
      <c r="DYB129"/>
      <c r="DYC129"/>
      <c r="DYD129"/>
      <c r="DYE129"/>
      <c r="DYF129"/>
      <c r="DYG129"/>
      <c r="DYH129"/>
      <c r="DYI129"/>
      <c r="DYJ129"/>
      <c r="DYK129"/>
      <c r="DYL129"/>
      <c r="DYM129"/>
      <c r="DYN129"/>
      <c r="DYO129"/>
      <c r="DYP129"/>
      <c r="DYQ129"/>
      <c r="DYR129"/>
      <c r="DYS129"/>
      <c r="DYT129"/>
      <c r="DYU129"/>
      <c r="DYV129"/>
      <c r="DYW129"/>
      <c r="DYX129"/>
      <c r="DYY129"/>
      <c r="DYZ129"/>
      <c r="DZA129"/>
      <c r="DZB129"/>
      <c r="DZC129"/>
      <c r="DZD129"/>
      <c r="DZE129"/>
      <c r="DZF129"/>
      <c r="DZG129"/>
      <c r="DZH129"/>
      <c r="DZI129"/>
      <c r="DZJ129"/>
      <c r="DZK129"/>
      <c r="DZL129"/>
      <c r="DZM129"/>
      <c r="DZN129"/>
      <c r="DZO129"/>
      <c r="DZP129"/>
      <c r="DZQ129"/>
      <c r="DZR129"/>
      <c r="DZS129"/>
      <c r="DZT129"/>
      <c r="DZU129"/>
      <c r="DZV129"/>
      <c r="DZW129"/>
      <c r="DZX129"/>
      <c r="DZY129"/>
      <c r="DZZ129"/>
      <c r="EAA129"/>
      <c r="EAB129"/>
      <c r="EAC129"/>
      <c r="EAD129"/>
      <c r="EAE129"/>
      <c r="EAF129"/>
      <c r="EAG129"/>
      <c r="EAH129"/>
      <c r="EAI129"/>
      <c r="EAJ129"/>
      <c r="EAK129"/>
      <c r="EAL129"/>
      <c r="EAM129"/>
      <c r="EAN129"/>
      <c r="EAO129"/>
      <c r="EAP129"/>
      <c r="EAQ129"/>
      <c r="EAR129"/>
      <c r="EAS129"/>
      <c r="EAT129"/>
      <c r="EAU129"/>
      <c r="EAV129"/>
      <c r="EAW129"/>
      <c r="EAX129"/>
      <c r="EAY129"/>
      <c r="EAZ129"/>
      <c r="EBA129"/>
      <c r="EBB129"/>
      <c r="EBC129"/>
      <c r="EBD129"/>
      <c r="EBE129"/>
      <c r="EBF129"/>
      <c r="EBG129"/>
      <c r="EBH129"/>
      <c r="EBI129"/>
      <c r="EBJ129"/>
      <c r="EBK129"/>
      <c r="EBL129"/>
      <c r="EBM129"/>
      <c r="EBN129"/>
      <c r="EBO129"/>
      <c r="EBP129"/>
      <c r="EBQ129"/>
      <c r="EBR129"/>
      <c r="EBS129"/>
      <c r="EBT129"/>
      <c r="EBU129"/>
      <c r="EBV129"/>
      <c r="EBW129"/>
      <c r="EBX129"/>
      <c r="EBY129"/>
      <c r="EBZ129"/>
      <c r="ECA129"/>
      <c r="ECB129"/>
      <c r="ECC129"/>
      <c r="ECD129"/>
      <c r="ECE129"/>
      <c r="ECF129"/>
      <c r="ECG129"/>
      <c r="ECH129"/>
      <c r="ECI129"/>
      <c r="ECJ129"/>
      <c r="ECK129"/>
      <c r="ECL129"/>
      <c r="ECM129"/>
      <c r="ECN129"/>
      <c r="ECO129"/>
      <c r="ECP129"/>
      <c r="ECQ129"/>
      <c r="ECR129"/>
      <c r="ECS129"/>
      <c r="ECT129"/>
      <c r="ECU129"/>
      <c r="ECV129"/>
      <c r="ECW129"/>
      <c r="ECX129"/>
      <c r="ECY129"/>
      <c r="ECZ129"/>
      <c r="EDA129"/>
      <c r="EDB129"/>
      <c r="EDC129"/>
      <c r="EDD129"/>
      <c r="EDE129"/>
      <c r="EDF129"/>
      <c r="EDG129"/>
      <c r="EDH129"/>
      <c r="EDI129"/>
      <c r="EDJ129"/>
      <c r="EDK129"/>
      <c r="EDL129"/>
      <c r="EDM129"/>
      <c r="EDN129"/>
      <c r="EDO129"/>
      <c r="EDP129"/>
      <c r="EDQ129"/>
      <c r="EDR129"/>
      <c r="EDS129"/>
      <c r="EDT129"/>
      <c r="EDU129"/>
      <c r="EDV129"/>
      <c r="EDW129"/>
      <c r="EDX129"/>
      <c r="EDY129"/>
      <c r="EDZ129"/>
      <c r="EEA129"/>
      <c r="EEB129"/>
      <c r="EEC129"/>
      <c r="EED129"/>
      <c r="EEE129"/>
      <c r="EEF129"/>
      <c r="EEG129"/>
      <c r="EEH129"/>
      <c r="EEI129"/>
      <c r="EEJ129"/>
      <c r="EEK129"/>
      <c r="EEL129"/>
      <c r="EEM129"/>
      <c r="EEN129"/>
      <c r="EEO129"/>
      <c r="EEP129"/>
      <c r="EEQ129"/>
      <c r="EER129"/>
      <c r="EES129"/>
      <c r="EET129"/>
      <c r="EEU129"/>
      <c r="EEV129"/>
      <c r="EEW129"/>
      <c r="EEX129"/>
      <c r="EEY129"/>
      <c r="EEZ129"/>
      <c r="EFA129"/>
      <c r="EFB129"/>
      <c r="EFC129"/>
      <c r="EFD129"/>
      <c r="EFE129"/>
      <c r="EFF129"/>
      <c r="EFG129"/>
      <c r="EFH129"/>
      <c r="EFI129"/>
      <c r="EFJ129"/>
      <c r="EFK129"/>
      <c r="EFL129"/>
      <c r="EFM129"/>
      <c r="EFN129"/>
      <c r="EFO129"/>
      <c r="EFP129"/>
      <c r="EFQ129"/>
      <c r="EFR129"/>
      <c r="EFS129"/>
      <c r="EFT129"/>
      <c r="EFU129"/>
      <c r="EFV129"/>
      <c r="EFW129"/>
      <c r="EFX129"/>
      <c r="EFY129"/>
      <c r="EFZ129"/>
      <c r="EGA129"/>
      <c r="EGB129"/>
      <c r="EGC129"/>
      <c r="EGD129"/>
      <c r="EGE129"/>
      <c r="EGF129"/>
      <c r="EGG129"/>
      <c r="EGH129"/>
      <c r="EGI129"/>
      <c r="EGJ129"/>
      <c r="EGK129"/>
      <c r="EGL129"/>
      <c r="EGM129"/>
      <c r="EGN129"/>
      <c r="EGO129"/>
      <c r="EGP129"/>
      <c r="EGQ129"/>
      <c r="EGR129"/>
      <c r="EGS129"/>
      <c r="EGT129"/>
      <c r="EGU129"/>
      <c r="EGV129"/>
      <c r="EGW129"/>
      <c r="EGX129"/>
      <c r="EGY129"/>
      <c r="EGZ129"/>
      <c r="EHA129"/>
      <c r="EHB129"/>
      <c r="EHC129"/>
      <c r="EHD129"/>
      <c r="EHE129"/>
      <c r="EHF129"/>
      <c r="EHG129"/>
      <c r="EHH129"/>
      <c r="EHI129"/>
      <c r="EHJ129"/>
      <c r="EHK129"/>
      <c r="EHL129"/>
      <c r="EHM129"/>
      <c r="EHN129"/>
      <c r="EHO129"/>
      <c r="EHP129"/>
      <c r="EHQ129"/>
      <c r="EHR129"/>
      <c r="EHS129"/>
      <c r="EHT129"/>
      <c r="EHU129"/>
      <c r="EHV129"/>
      <c r="EHW129"/>
      <c r="EHX129"/>
      <c r="EHY129"/>
      <c r="EHZ129"/>
      <c r="EIA129"/>
      <c r="EIB129"/>
      <c r="EIC129"/>
      <c r="EID129"/>
      <c r="EIE129"/>
      <c r="EIF129"/>
      <c r="EIG129"/>
      <c r="EIH129"/>
      <c r="EII129"/>
      <c r="EIJ129"/>
      <c r="EIK129"/>
      <c r="EIL129"/>
      <c r="EIM129"/>
      <c r="EIN129"/>
      <c r="EIO129"/>
      <c r="EIP129"/>
      <c r="EIQ129"/>
      <c r="EIR129"/>
      <c r="EIS129"/>
      <c r="EIT129"/>
      <c r="EIU129"/>
      <c r="EIV129"/>
      <c r="EIW129"/>
      <c r="EIX129"/>
      <c r="EIY129"/>
      <c r="EIZ129"/>
      <c r="EJA129"/>
      <c r="EJB129"/>
      <c r="EJC129"/>
      <c r="EJD129"/>
      <c r="EJE129"/>
      <c r="EJF129"/>
      <c r="EJG129"/>
      <c r="EJH129"/>
      <c r="EJI129"/>
      <c r="EJJ129"/>
      <c r="EJK129"/>
      <c r="EJL129"/>
      <c r="EJM129"/>
      <c r="EJN129"/>
      <c r="EJO129"/>
      <c r="EJP129"/>
      <c r="EJQ129"/>
      <c r="EJR129"/>
      <c r="EJS129"/>
      <c r="EJT129"/>
      <c r="EJU129"/>
      <c r="EJV129"/>
      <c r="EJW129"/>
      <c r="EJX129"/>
      <c r="EJY129"/>
      <c r="EJZ129"/>
      <c r="EKA129"/>
      <c r="EKB129"/>
      <c r="EKC129"/>
      <c r="EKD129"/>
      <c r="EKE129"/>
      <c r="EKF129"/>
      <c r="EKG129"/>
      <c r="EKH129"/>
      <c r="EKI129"/>
      <c r="EKJ129"/>
      <c r="EKK129"/>
      <c r="EKL129"/>
      <c r="EKM129"/>
      <c r="EKN129"/>
      <c r="EKO129"/>
      <c r="EKP129"/>
      <c r="EKQ129"/>
      <c r="EKR129"/>
      <c r="EKS129"/>
      <c r="EKT129"/>
      <c r="EKU129"/>
      <c r="EKV129"/>
      <c r="EKW129"/>
      <c r="EKX129"/>
      <c r="EKY129"/>
      <c r="EKZ129"/>
      <c r="ELA129"/>
      <c r="ELB129"/>
      <c r="ELC129"/>
      <c r="ELD129"/>
      <c r="ELE129"/>
      <c r="ELF129"/>
      <c r="ELG129"/>
      <c r="ELH129"/>
      <c r="ELI129"/>
      <c r="ELJ129"/>
      <c r="ELK129"/>
      <c r="ELL129"/>
      <c r="ELM129"/>
      <c r="ELN129"/>
      <c r="ELO129"/>
      <c r="ELP129"/>
      <c r="ELQ129"/>
      <c r="ELR129"/>
      <c r="ELS129"/>
      <c r="ELT129"/>
      <c r="ELU129"/>
      <c r="ELV129"/>
      <c r="ELW129"/>
      <c r="ELX129"/>
      <c r="ELY129"/>
      <c r="ELZ129"/>
      <c r="EMA129"/>
      <c r="EMB129"/>
      <c r="EMC129"/>
      <c r="EMD129"/>
      <c r="EME129"/>
      <c r="EMF129"/>
      <c r="EMG129"/>
      <c r="EMH129"/>
      <c r="EMI129"/>
      <c r="EMJ129"/>
      <c r="EMK129"/>
      <c r="EML129"/>
      <c r="EMM129"/>
      <c r="EMN129"/>
      <c r="EMO129"/>
      <c r="EMP129"/>
      <c r="EMQ129"/>
      <c r="EMR129"/>
      <c r="EMS129"/>
      <c r="EMT129"/>
      <c r="EMU129"/>
      <c r="EMV129"/>
      <c r="EMW129"/>
      <c r="EMX129"/>
      <c r="EMY129"/>
      <c r="EMZ129"/>
      <c r="ENA129"/>
      <c r="ENB129"/>
      <c r="ENC129"/>
      <c r="END129"/>
      <c r="ENE129"/>
      <c r="ENF129"/>
      <c r="ENG129"/>
      <c r="ENH129"/>
      <c r="ENI129"/>
      <c r="ENJ129"/>
      <c r="ENK129"/>
      <c r="ENL129"/>
      <c r="ENM129"/>
      <c r="ENN129"/>
      <c r="ENO129"/>
      <c r="ENP129"/>
      <c r="ENQ129"/>
      <c r="ENR129"/>
      <c r="ENS129"/>
      <c r="ENT129"/>
      <c r="ENU129"/>
      <c r="ENV129"/>
      <c r="ENW129"/>
      <c r="ENX129"/>
      <c r="ENY129"/>
      <c r="ENZ129"/>
      <c r="EOA129"/>
      <c r="EOB129"/>
      <c r="EOC129"/>
      <c r="EOD129"/>
      <c r="EOE129"/>
      <c r="EOF129"/>
      <c r="EOG129"/>
      <c r="EOH129"/>
      <c r="EOI129"/>
      <c r="EOJ129"/>
      <c r="EOK129"/>
      <c r="EOL129"/>
      <c r="EOM129"/>
      <c r="EON129"/>
      <c r="EOO129"/>
      <c r="EOP129"/>
      <c r="EOQ129"/>
      <c r="EOR129"/>
      <c r="EOS129"/>
      <c r="EOT129"/>
      <c r="EOU129"/>
      <c r="EOV129"/>
      <c r="EOW129"/>
      <c r="EOX129"/>
      <c r="EOY129"/>
      <c r="EOZ129"/>
      <c r="EPA129"/>
      <c r="EPB129"/>
      <c r="EPC129"/>
      <c r="EPD129"/>
      <c r="EPE129"/>
      <c r="EPF129"/>
      <c r="EPG129"/>
      <c r="EPH129"/>
      <c r="EPI129"/>
      <c r="EPJ129"/>
      <c r="EPK129"/>
      <c r="EPL129"/>
      <c r="EPM129"/>
      <c r="EPN129"/>
      <c r="EPO129"/>
      <c r="EPP129"/>
      <c r="EPQ129"/>
      <c r="EPR129"/>
      <c r="EPS129"/>
      <c r="EPT129"/>
      <c r="EPU129"/>
      <c r="EPV129"/>
      <c r="EPW129"/>
      <c r="EPX129"/>
      <c r="EPY129"/>
      <c r="EPZ129"/>
      <c r="EQA129"/>
      <c r="EQB129"/>
      <c r="EQC129"/>
      <c r="EQD129"/>
      <c r="EQE129"/>
      <c r="EQF129"/>
      <c r="EQG129"/>
      <c r="EQH129"/>
      <c r="EQI129"/>
      <c r="EQJ129"/>
      <c r="EQK129"/>
      <c r="EQL129"/>
      <c r="EQM129"/>
      <c r="EQN129"/>
      <c r="EQO129"/>
      <c r="EQP129"/>
      <c r="EQQ129"/>
      <c r="EQR129"/>
      <c r="EQS129"/>
      <c r="EQT129"/>
      <c r="EQU129"/>
      <c r="EQV129"/>
      <c r="EQW129"/>
      <c r="EQX129"/>
      <c r="EQY129"/>
      <c r="EQZ129"/>
      <c r="ERA129"/>
      <c r="ERB129"/>
      <c r="ERC129"/>
      <c r="ERD129"/>
      <c r="ERE129"/>
      <c r="ERF129"/>
      <c r="ERG129"/>
      <c r="ERH129"/>
      <c r="ERI129"/>
      <c r="ERJ129"/>
      <c r="ERK129"/>
      <c r="ERL129"/>
      <c r="ERM129"/>
      <c r="ERN129"/>
      <c r="ERO129"/>
      <c r="ERP129"/>
      <c r="ERQ129"/>
      <c r="ERR129"/>
      <c r="ERS129"/>
      <c r="ERT129"/>
      <c r="ERU129"/>
      <c r="ERV129"/>
      <c r="ERW129"/>
      <c r="ERX129"/>
      <c r="ERY129"/>
      <c r="ERZ129"/>
      <c r="ESA129"/>
      <c r="ESB129"/>
      <c r="ESC129"/>
      <c r="ESD129"/>
      <c r="ESE129"/>
      <c r="ESF129"/>
      <c r="ESG129"/>
      <c r="ESH129"/>
      <c r="ESI129"/>
      <c r="ESJ129"/>
      <c r="ESK129"/>
      <c r="ESL129"/>
      <c r="ESM129"/>
      <c r="ESN129"/>
      <c r="ESO129"/>
      <c r="ESP129"/>
      <c r="ESQ129"/>
      <c r="ESR129"/>
      <c r="ESS129"/>
      <c r="EST129"/>
      <c r="ESU129"/>
      <c r="ESV129"/>
      <c r="ESW129"/>
      <c r="ESX129"/>
      <c r="ESY129"/>
      <c r="ESZ129"/>
      <c r="ETA129"/>
      <c r="ETB129"/>
      <c r="ETC129"/>
      <c r="ETD129"/>
      <c r="ETE129"/>
      <c r="ETF129"/>
      <c r="ETG129"/>
      <c r="ETH129"/>
      <c r="ETI129"/>
      <c r="ETJ129"/>
      <c r="ETK129"/>
      <c r="ETL129"/>
      <c r="ETM129"/>
      <c r="ETN129"/>
      <c r="ETO129"/>
      <c r="ETP129"/>
      <c r="ETQ129"/>
      <c r="ETR129"/>
      <c r="ETS129"/>
      <c r="ETT129"/>
      <c r="ETU129"/>
      <c r="ETV129"/>
      <c r="ETW129"/>
      <c r="ETX129"/>
      <c r="ETY129"/>
      <c r="ETZ129"/>
      <c r="EUA129"/>
      <c r="EUB129"/>
      <c r="EUC129"/>
      <c r="EUD129"/>
      <c r="EUE129"/>
      <c r="EUF129"/>
      <c r="EUG129"/>
      <c r="EUH129"/>
      <c r="EUI129"/>
      <c r="EUJ129"/>
      <c r="EUK129"/>
      <c r="EUL129"/>
      <c r="EUM129"/>
      <c r="EUN129"/>
      <c r="EUO129"/>
      <c r="EUP129"/>
      <c r="EUQ129"/>
      <c r="EUR129"/>
      <c r="EUS129"/>
      <c r="EUT129"/>
      <c r="EUU129"/>
      <c r="EUV129"/>
      <c r="EUW129"/>
      <c r="EUX129"/>
      <c r="EUY129"/>
      <c r="EUZ129"/>
      <c r="EVA129"/>
      <c r="EVB129"/>
      <c r="EVC129"/>
      <c r="EVD129"/>
      <c r="EVE129"/>
      <c r="EVF129"/>
      <c r="EVG129"/>
      <c r="EVH129"/>
      <c r="EVI129"/>
      <c r="EVJ129"/>
      <c r="EVK129"/>
      <c r="EVL129"/>
      <c r="EVM129"/>
      <c r="EVN129"/>
      <c r="EVO129"/>
      <c r="EVP129"/>
      <c r="EVQ129"/>
      <c r="EVR129"/>
      <c r="EVS129"/>
      <c r="EVT129"/>
      <c r="EVU129"/>
      <c r="EVV129"/>
      <c r="EVW129"/>
      <c r="EVX129"/>
      <c r="EVY129"/>
      <c r="EVZ129"/>
      <c r="EWA129"/>
      <c r="EWB129"/>
      <c r="EWC129"/>
      <c r="EWD129"/>
      <c r="EWE129"/>
      <c r="EWF129"/>
      <c r="EWG129"/>
      <c r="EWH129"/>
      <c r="EWI129"/>
      <c r="EWJ129"/>
      <c r="EWK129"/>
      <c r="EWL129"/>
      <c r="EWM129"/>
      <c r="EWN129"/>
      <c r="EWO129"/>
      <c r="EWP129"/>
      <c r="EWQ129"/>
      <c r="EWR129"/>
      <c r="EWS129"/>
      <c r="EWT129"/>
      <c r="EWU129"/>
      <c r="EWV129"/>
      <c r="EWW129"/>
      <c r="EWX129"/>
      <c r="EWY129"/>
      <c r="EWZ129"/>
      <c r="EXA129"/>
      <c r="EXB129"/>
      <c r="EXC129"/>
      <c r="EXD129"/>
      <c r="EXE129"/>
      <c r="EXF129"/>
      <c r="EXG129"/>
      <c r="EXH129"/>
      <c r="EXI129"/>
      <c r="EXJ129"/>
      <c r="EXK129"/>
      <c r="EXL129"/>
      <c r="EXM129"/>
      <c r="EXN129"/>
      <c r="EXO129"/>
      <c r="EXP129"/>
      <c r="EXQ129"/>
      <c r="EXR129"/>
      <c r="EXS129"/>
      <c r="EXT129"/>
      <c r="EXU129"/>
      <c r="EXV129"/>
      <c r="EXW129"/>
      <c r="EXX129"/>
      <c r="EXY129"/>
      <c r="EXZ129"/>
      <c r="EYA129"/>
      <c r="EYB129"/>
      <c r="EYC129"/>
      <c r="EYD129"/>
      <c r="EYE129"/>
      <c r="EYF129"/>
      <c r="EYG129"/>
      <c r="EYH129"/>
      <c r="EYI129"/>
      <c r="EYJ129"/>
      <c r="EYK129"/>
      <c r="EYL129"/>
      <c r="EYM129"/>
      <c r="EYN129"/>
      <c r="EYO129"/>
      <c r="EYP129"/>
      <c r="EYQ129"/>
      <c r="EYR129"/>
      <c r="EYS129"/>
      <c r="EYT129"/>
      <c r="EYU129"/>
      <c r="EYV129"/>
      <c r="EYW129"/>
      <c r="EYX129"/>
      <c r="EYY129"/>
      <c r="EYZ129"/>
      <c r="EZA129"/>
      <c r="EZB129"/>
      <c r="EZC129"/>
      <c r="EZD129"/>
      <c r="EZE129"/>
      <c r="EZF129"/>
      <c r="EZG129"/>
      <c r="EZH129"/>
      <c r="EZI129"/>
      <c r="EZJ129"/>
      <c r="EZK129"/>
      <c r="EZL129"/>
      <c r="EZM129"/>
      <c r="EZN129"/>
      <c r="EZO129"/>
      <c r="EZP129"/>
      <c r="EZQ129"/>
      <c r="EZR129"/>
      <c r="EZS129"/>
      <c r="EZT129"/>
      <c r="EZU129"/>
      <c r="EZV129"/>
      <c r="EZW129"/>
      <c r="EZX129"/>
      <c r="EZY129"/>
      <c r="EZZ129"/>
      <c r="FAA129"/>
      <c r="FAB129"/>
      <c r="FAC129"/>
      <c r="FAD129"/>
      <c r="FAE129"/>
      <c r="FAF129"/>
      <c r="FAG129"/>
      <c r="FAH129"/>
      <c r="FAI129"/>
      <c r="FAJ129"/>
      <c r="FAK129"/>
      <c r="FAL129"/>
      <c r="FAM129"/>
      <c r="FAN129"/>
      <c r="FAO129"/>
      <c r="FAP129"/>
      <c r="FAQ129"/>
      <c r="FAR129"/>
      <c r="FAS129"/>
      <c r="FAT129"/>
      <c r="FAU129"/>
      <c r="FAV129"/>
      <c r="FAW129"/>
      <c r="FAX129"/>
      <c r="FAY129"/>
      <c r="FAZ129"/>
      <c r="FBA129"/>
      <c r="FBB129"/>
      <c r="FBC129"/>
      <c r="FBD129"/>
      <c r="FBE129"/>
      <c r="FBF129"/>
      <c r="FBG129"/>
      <c r="FBH129"/>
      <c r="FBI129"/>
      <c r="FBJ129"/>
      <c r="FBK129"/>
      <c r="FBL129"/>
      <c r="FBM129"/>
      <c r="FBN129"/>
      <c r="FBO129"/>
      <c r="FBP129"/>
      <c r="FBQ129"/>
      <c r="FBR129"/>
      <c r="FBS129"/>
      <c r="FBT129"/>
      <c r="FBU129"/>
      <c r="FBV129"/>
      <c r="FBW129"/>
      <c r="FBX129"/>
      <c r="FBY129"/>
      <c r="FBZ129"/>
      <c r="FCA129"/>
      <c r="FCB129"/>
      <c r="FCC129"/>
      <c r="FCD129"/>
      <c r="FCE129"/>
      <c r="FCF129"/>
      <c r="FCG129"/>
      <c r="FCH129"/>
      <c r="FCI129"/>
      <c r="FCJ129"/>
      <c r="FCK129"/>
      <c r="FCL129"/>
      <c r="FCM129"/>
      <c r="FCN129"/>
      <c r="FCO129"/>
      <c r="FCP129"/>
      <c r="FCQ129"/>
      <c r="FCR129"/>
      <c r="FCS129"/>
      <c r="FCT129"/>
      <c r="FCU129"/>
      <c r="FCV129"/>
      <c r="FCW129"/>
      <c r="FCX129"/>
      <c r="FCY129"/>
      <c r="FCZ129"/>
      <c r="FDA129"/>
      <c r="FDB129"/>
      <c r="FDC129"/>
      <c r="FDD129"/>
      <c r="FDE129"/>
      <c r="FDF129"/>
      <c r="FDG129"/>
      <c r="FDH129"/>
      <c r="FDI129"/>
      <c r="FDJ129"/>
      <c r="FDK129"/>
      <c r="FDL129"/>
      <c r="FDM129"/>
      <c r="FDN129"/>
      <c r="FDO129"/>
      <c r="FDP129"/>
      <c r="FDQ129"/>
      <c r="FDR129"/>
      <c r="FDS129"/>
      <c r="FDT129"/>
      <c r="FDU129"/>
      <c r="FDV129"/>
      <c r="FDW129"/>
      <c r="FDX129"/>
      <c r="FDY129"/>
      <c r="FDZ129"/>
      <c r="FEA129"/>
      <c r="FEB129"/>
      <c r="FEC129"/>
      <c r="FED129"/>
      <c r="FEE129"/>
      <c r="FEF129"/>
      <c r="FEG129"/>
      <c r="FEH129"/>
      <c r="FEI129"/>
      <c r="FEJ129"/>
      <c r="FEK129"/>
      <c r="FEL129"/>
      <c r="FEM129"/>
      <c r="FEN129"/>
      <c r="FEO129"/>
      <c r="FEP129"/>
      <c r="FEQ129"/>
      <c r="FER129"/>
      <c r="FES129"/>
      <c r="FET129"/>
      <c r="FEU129"/>
      <c r="FEV129"/>
      <c r="FEW129"/>
      <c r="FEX129"/>
      <c r="FEY129"/>
      <c r="FEZ129"/>
      <c r="FFA129"/>
      <c r="FFB129"/>
      <c r="FFC129"/>
      <c r="FFD129"/>
      <c r="FFE129"/>
      <c r="FFF129"/>
      <c r="FFG129"/>
      <c r="FFH129"/>
      <c r="FFI129"/>
      <c r="FFJ129"/>
      <c r="FFK129"/>
      <c r="FFL129"/>
      <c r="FFM129"/>
      <c r="FFN129"/>
      <c r="FFO129"/>
      <c r="FFP129"/>
      <c r="FFQ129"/>
      <c r="FFR129"/>
      <c r="FFS129"/>
      <c r="FFT129"/>
      <c r="FFU129"/>
      <c r="FFV129"/>
      <c r="FFW129"/>
      <c r="FFX129"/>
      <c r="FFY129"/>
      <c r="FFZ129"/>
      <c r="FGA129"/>
      <c r="FGB129"/>
      <c r="FGC129"/>
      <c r="FGD129"/>
      <c r="FGE129"/>
      <c r="FGF129"/>
      <c r="FGG129"/>
      <c r="FGH129"/>
      <c r="FGI129"/>
      <c r="FGJ129"/>
      <c r="FGK129"/>
      <c r="FGL129"/>
      <c r="FGM129"/>
      <c r="FGN129"/>
      <c r="FGO129"/>
      <c r="FGP129"/>
      <c r="FGQ129"/>
      <c r="FGR129"/>
      <c r="FGS129"/>
      <c r="FGT129"/>
      <c r="FGU129"/>
      <c r="FGV129"/>
      <c r="FGW129"/>
      <c r="FGX129"/>
      <c r="FGY129"/>
      <c r="FGZ129"/>
      <c r="FHA129"/>
      <c r="FHB129"/>
      <c r="FHC129"/>
      <c r="FHD129"/>
      <c r="FHE129"/>
      <c r="FHF129"/>
      <c r="FHG129"/>
      <c r="FHH129"/>
      <c r="FHI129"/>
      <c r="FHJ129"/>
      <c r="FHK129"/>
      <c r="FHL129"/>
      <c r="FHM129"/>
      <c r="FHN129"/>
      <c r="FHO129"/>
      <c r="FHP129"/>
      <c r="FHQ129"/>
      <c r="FHR129"/>
      <c r="FHS129"/>
      <c r="FHT129"/>
      <c r="FHU129"/>
      <c r="FHV129"/>
      <c r="FHW129"/>
      <c r="FHX129"/>
      <c r="FHY129"/>
      <c r="FHZ129"/>
      <c r="FIA129"/>
      <c r="FIB129"/>
      <c r="FIC129"/>
      <c r="FID129"/>
      <c r="FIE129"/>
      <c r="FIF129"/>
      <c r="FIG129"/>
      <c r="FIH129"/>
      <c r="FII129"/>
      <c r="FIJ129"/>
      <c r="FIK129"/>
      <c r="FIL129"/>
      <c r="FIM129"/>
      <c r="FIN129"/>
      <c r="FIO129"/>
      <c r="FIP129"/>
      <c r="FIQ129"/>
      <c r="FIR129"/>
      <c r="FIS129"/>
      <c r="FIT129"/>
      <c r="FIU129"/>
      <c r="FIV129"/>
      <c r="FIW129"/>
      <c r="FIX129"/>
      <c r="FIY129"/>
      <c r="FIZ129"/>
      <c r="FJA129"/>
      <c r="FJB129"/>
      <c r="FJC129"/>
      <c r="FJD129"/>
      <c r="FJE129"/>
      <c r="FJF129"/>
      <c r="FJG129"/>
      <c r="FJH129"/>
      <c r="FJI129"/>
      <c r="FJJ129"/>
      <c r="FJK129"/>
      <c r="FJL129"/>
      <c r="FJM129"/>
      <c r="FJN129"/>
      <c r="FJO129"/>
      <c r="FJP129"/>
      <c r="FJQ129"/>
      <c r="FJR129"/>
      <c r="FJS129"/>
      <c r="FJT129"/>
      <c r="FJU129"/>
      <c r="FJV129"/>
      <c r="FJW129"/>
      <c r="FJX129"/>
      <c r="FJY129"/>
      <c r="FJZ129"/>
      <c r="FKA129"/>
      <c r="FKB129"/>
      <c r="FKC129"/>
      <c r="FKD129"/>
      <c r="FKE129"/>
      <c r="FKF129"/>
      <c r="FKG129"/>
      <c r="FKH129"/>
      <c r="FKI129"/>
      <c r="FKJ129"/>
      <c r="FKK129"/>
      <c r="FKL129"/>
      <c r="FKM129"/>
      <c r="FKN129"/>
      <c r="FKO129"/>
      <c r="FKP129"/>
      <c r="FKQ129"/>
      <c r="FKR129"/>
      <c r="FKS129"/>
      <c r="FKT129"/>
      <c r="FKU129"/>
      <c r="FKV129"/>
      <c r="FKW129"/>
      <c r="FKX129"/>
      <c r="FKY129"/>
      <c r="FKZ129"/>
      <c r="FLA129"/>
      <c r="FLB129"/>
      <c r="FLC129"/>
      <c r="FLD129"/>
      <c r="FLE129"/>
      <c r="FLF129"/>
      <c r="FLG129"/>
      <c r="FLH129"/>
      <c r="FLI129"/>
      <c r="FLJ129"/>
      <c r="FLK129"/>
      <c r="FLL129"/>
      <c r="FLM129"/>
      <c r="FLN129"/>
      <c r="FLO129"/>
      <c r="FLP129"/>
      <c r="FLQ129"/>
      <c r="FLR129"/>
      <c r="FLS129"/>
      <c r="FLT129"/>
      <c r="FLU129"/>
      <c r="FLV129"/>
      <c r="FLW129"/>
      <c r="FLX129"/>
      <c r="FLY129"/>
      <c r="FLZ129"/>
      <c r="FMA129"/>
      <c r="FMB129"/>
      <c r="FMC129"/>
      <c r="FMD129"/>
      <c r="FME129"/>
      <c r="FMF129"/>
      <c r="FMG129"/>
      <c r="FMH129"/>
      <c r="FMI129"/>
      <c r="FMJ129"/>
      <c r="FMK129"/>
      <c r="FML129"/>
      <c r="FMM129"/>
      <c r="FMN129"/>
      <c r="FMO129"/>
      <c r="FMP129"/>
      <c r="FMQ129"/>
      <c r="FMR129"/>
      <c r="FMS129"/>
      <c r="FMT129"/>
      <c r="FMU129"/>
      <c r="FMV129"/>
      <c r="FMW129"/>
      <c r="FMX129"/>
      <c r="FMY129"/>
      <c r="FMZ129"/>
      <c r="FNA129"/>
      <c r="FNB129"/>
      <c r="FNC129"/>
      <c r="FND129"/>
      <c r="FNE129"/>
      <c r="FNF129"/>
      <c r="FNG129"/>
      <c r="FNH129"/>
      <c r="FNI129"/>
      <c r="FNJ129"/>
      <c r="FNK129"/>
      <c r="FNL129"/>
      <c r="FNM129"/>
      <c r="FNN129"/>
      <c r="FNO129"/>
      <c r="FNP129"/>
      <c r="FNQ129"/>
      <c r="FNR129"/>
      <c r="FNS129"/>
      <c r="FNT129"/>
      <c r="FNU129"/>
      <c r="FNV129"/>
      <c r="FNW129"/>
      <c r="FNX129"/>
      <c r="FNY129"/>
      <c r="FNZ129"/>
      <c r="FOA129"/>
      <c r="FOB129"/>
      <c r="FOC129"/>
      <c r="FOD129"/>
      <c r="FOE129"/>
      <c r="FOF129"/>
      <c r="FOG129"/>
      <c r="FOH129"/>
      <c r="FOI129"/>
      <c r="FOJ129"/>
      <c r="FOK129"/>
      <c r="FOL129"/>
      <c r="FOM129"/>
      <c r="FON129"/>
      <c r="FOO129"/>
      <c r="FOP129"/>
      <c r="FOQ129"/>
      <c r="FOR129"/>
      <c r="FOS129"/>
      <c r="FOT129"/>
      <c r="FOU129"/>
      <c r="FOV129"/>
      <c r="FOW129"/>
      <c r="FOX129"/>
      <c r="FOY129"/>
      <c r="FOZ129"/>
      <c r="FPA129"/>
      <c r="FPB129"/>
      <c r="FPC129"/>
      <c r="FPD129"/>
      <c r="FPE129"/>
      <c r="FPF129"/>
      <c r="FPG129"/>
      <c r="FPH129"/>
      <c r="FPI129"/>
      <c r="FPJ129"/>
      <c r="FPK129"/>
      <c r="FPL129"/>
      <c r="FPM129"/>
      <c r="FPN129"/>
      <c r="FPO129"/>
      <c r="FPP129"/>
      <c r="FPQ129"/>
      <c r="FPR129"/>
      <c r="FPS129"/>
      <c r="FPT129"/>
      <c r="FPU129"/>
      <c r="FPV129"/>
      <c r="FPW129"/>
      <c r="FPX129"/>
      <c r="FPY129"/>
      <c r="FPZ129"/>
      <c r="FQA129"/>
      <c r="FQB129"/>
      <c r="FQC129"/>
      <c r="FQD129"/>
      <c r="FQE129"/>
      <c r="FQF129"/>
      <c r="FQG129"/>
      <c r="FQH129"/>
      <c r="FQI129"/>
      <c r="FQJ129"/>
      <c r="FQK129"/>
      <c r="FQL129"/>
      <c r="FQM129"/>
      <c r="FQN129"/>
      <c r="FQO129"/>
      <c r="FQP129"/>
      <c r="FQQ129"/>
      <c r="FQR129"/>
      <c r="FQS129"/>
      <c r="FQT129"/>
      <c r="FQU129"/>
      <c r="FQV129"/>
      <c r="FQW129"/>
      <c r="FQX129"/>
      <c r="FQY129"/>
      <c r="FQZ129"/>
      <c r="FRA129"/>
      <c r="FRB129"/>
      <c r="FRC129"/>
      <c r="FRD129"/>
      <c r="FRE129"/>
      <c r="FRF129"/>
      <c r="FRG129"/>
      <c r="FRH129"/>
      <c r="FRI129"/>
      <c r="FRJ129"/>
      <c r="FRK129"/>
      <c r="FRL129"/>
      <c r="FRM129"/>
      <c r="FRN129"/>
      <c r="FRO129"/>
      <c r="FRP129"/>
      <c r="FRQ129"/>
      <c r="FRR129"/>
      <c r="FRS129"/>
      <c r="FRT129"/>
      <c r="FRU129"/>
      <c r="FRV129"/>
      <c r="FRW129"/>
      <c r="FRX129"/>
      <c r="FRY129"/>
      <c r="FRZ129"/>
      <c r="FSA129"/>
      <c r="FSB129"/>
      <c r="FSC129"/>
      <c r="FSD129"/>
      <c r="FSE129"/>
      <c r="FSF129"/>
      <c r="FSG129"/>
      <c r="FSH129"/>
      <c r="FSI129"/>
      <c r="FSJ129"/>
      <c r="FSK129"/>
      <c r="FSL129"/>
      <c r="FSM129"/>
      <c r="FSN129"/>
      <c r="FSO129"/>
      <c r="FSP129"/>
      <c r="FSQ129"/>
      <c r="FSR129"/>
      <c r="FSS129"/>
      <c r="FST129"/>
      <c r="FSU129"/>
      <c r="FSV129"/>
      <c r="FSW129"/>
      <c r="FSX129"/>
      <c r="FSY129"/>
      <c r="FSZ129"/>
      <c r="FTA129"/>
      <c r="FTB129"/>
      <c r="FTC129"/>
      <c r="FTD129"/>
      <c r="FTE129"/>
      <c r="FTF129"/>
      <c r="FTG129"/>
      <c r="FTH129"/>
      <c r="FTI129"/>
      <c r="FTJ129"/>
      <c r="FTK129"/>
      <c r="FTL129"/>
      <c r="FTM129"/>
      <c r="FTN129"/>
      <c r="FTO129"/>
      <c r="FTP129"/>
      <c r="FTQ129"/>
      <c r="FTR129"/>
      <c r="FTS129"/>
      <c r="FTT129"/>
      <c r="FTU129"/>
      <c r="FTV129"/>
      <c r="FTW129"/>
      <c r="FTX129"/>
      <c r="FTY129"/>
      <c r="FTZ129"/>
      <c r="FUA129"/>
      <c r="FUB129"/>
      <c r="FUC129"/>
      <c r="FUD129"/>
      <c r="FUE129"/>
      <c r="FUF129"/>
      <c r="FUG129"/>
      <c r="FUH129"/>
      <c r="FUI129"/>
      <c r="FUJ129"/>
      <c r="FUK129"/>
      <c r="FUL129"/>
      <c r="FUM129"/>
      <c r="FUN129"/>
      <c r="FUO129"/>
      <c r="FUP129"/>
      <c r="FUQ129"/>
      <c r="FUR129"/>
      <c r="FUS129"/>
      <c r="FUT129"/>
      <c r="FUU129"/>
      <c r="FUV129"/>
      <c r="FUW129"/>
      <c r="FUX129"/>
      <c r="FUY129"/>
      <c r="FUZ129"/>
      <c r="FVA129"/>
      <c r="FVB129"/>
      <c r="FVC129"/>
      <c r="FVD129"/>
      <c r="FVE129"/>
      <c r="FVF129"/>
      <c r="FVG129"/>
      <c r="FVH129"/>
      <c r="FVI129"/>
      <c r="FVJ129"/>
      <c r="FVK129"/>
      <c r="FVL129"/>
      <c r="FVM129"/>
      <c r="FVN129"/>
      <c r="FVO129"/>
      <c r="FVP129"/>
      <c r="FVQ129"/>
      <c r="FVR129"/>
      <c r="FVS129"/>
      <c r="FVT129"/>
      <c r="FVU129"/>
      <c r="FVV129"/>
      <c r="FVW129"/>
      <c r="FVX129"/>
      <c r="FVY129"/>
      <c r="FVZ129"/>
      <c r="FWA129"/>
      <c r="FWB129"/>
      <c r="FWC129"/>
      <c r="FWD129"/>
      <c r="FWE129"/>
      <c r="FWF129"/>
      <c r="FWG129"/>
      <c r="FWH129"/>
      <c r="FWI129"/>
      <c r="FWJ129"/>
      <c r="FWK129"/>
      <c r="FWL129"/>
      <c r="FWM129"/>
      <c r="FWN129"/>
      <c r="FWO129"/>
      <c r="FWP129"/>
      <c r="FWQ129"/>
      <c r="FWR129"/>
      <c r="FWS129"/>
      <c r="FWT129"/>
      <c r="FWU129"/>
      <c r="FWV129"/>
      <c r="FWW129"/>
      <c r="FWX129"/>
      <c r="FWY129"/>
      <c r="FWZ129"/>
      <c r="FXA129"/>
      <c r="FXB129"/>
      <c r="FXC129"/>
      <c r="FXD129"/>
      <c r="FXE129"/>
      <c r="FXF129"/>
      <c r="FXG129"/>
      <c r="FXH129"/>
      <c r="FXI129"/>
      <c r="FXJ129"/>
      <c r="FXK129"/>
      <c r="FXL129"/>
      <c r="FXM129"/>
      <c r="FXN129"/>
      <c r="FXO129"/>
      <c r="FXP129"/>
      <c r="FXQ129"/>
      <c r="FXR129"/>
      <c r="FXS129"/>
      <c r="FXT129"/>
      <c r="FXU129"/>
      <c r="FXV129"/>
      <c r="FXW129"/>
      <c r="FXX129"/>
      <c r="FXY129"/>
      <c r="FXZ129"/>
      <c r="FYA129"/>
      <c r="FYB129"/>
      <c r="FYC129"/>
      <c r="FYD129"/>
      <c r="FYE129"/>
      <c r="FYF129"/>
      <c r="FYG129"/>
      <c r="FYH129"/>
      <c r="FYI129"/>
      <c r="FYJ129"/>
      <c r="FYK129"/>
      <c r="FYL129"/>
      <c r="FYM129"/>
      <c r="FYN129"/>
      <c r="FYO129"/>
      <c r="FYP129"/>
      <c r="FYQ129"/>
      <c r="FYR129"/>
      <c r="FYS129"/>
      <c r="FYT129"/>
      <c r="FYU129"/>
      <c r="FYV129"/>
      <c r="FYW129"/>
      <c r="FYX129"/>
      <c r="FYY129"/>
      <c r="FYZ129"/>
      <c r="FZA129"/>
      <c r="FZB129"/>
      <c r="FZC129"/>
      <c r="FZD129"/>
      <c r="FZE129"/>
      <c r="FZF129"/>
      <c r="FZG129"/>
      <c r="FZH129"/>
      <c r="FZI129"/>
      <c r="FZJ129"/>
      <c r="FZK129"/>
      <c r="FZL129"/>
      <c r="FZM129"/>
      <c r="FZN129"/>
      <c r="FZO129"/>
      <c r="FZP129"/>
      <c r="FZQ129"/>
      <c r="FZR129"/>
      <c r="FZS129"/>
      <c r="FZT129"/>
      <c r="FZU129"/>
      <c r="FZV129"/>
      <c r="FZW129"/>
      <c r="FZX129"/>
      <c r="FZY129"/>
      <c r="FZZ129"/>
      <c r="GAA129"/>
      <c r="GAB129"/>
      <c r="GAC129"/>
      <c r="GAD129"/>
      <c r="GAE129"/>
      <c r="GAF129"/>
      <c r="GAG129"/>
      <c r="GAH129"/>
      <c r="GAI129"/>
      <c r="GAJ129"/>
      <c r="GAK129"/>
      <c r="GAL129"/>
      <c r="GAM129"/>
      <c r="GAN129"/>
      <c r="GAO129"/>
      <c r="GAP129"/>
      <c r="GAQ129"/>
      <c r="GAR129"/>
      <c r="GAS129"/>
      <c r="GAT129"/>
      <c r="GAU129"/>
      <c r="GAV129"/>
      <c r="GAW129"/>
      <c r="GAX129"/>
      <c r="GAY129"/>
      <c r="GAZ129"/>
      <c r="GBA129"/>
      <c r="GBB129"/>
      <c r="GBC129"/>
      <c r="GBD129"/>
      <c r="GBE129"/>
      <c r="GBF129"/>
      <c r="GBG129"/>
      <c r="GBH129"/>
      <c r="GBI129"/>
      <c r="GBJ129"/>
      <c r="GBK129"/>
      <c r="GBL129"/>
      <c r="GBM129"/>
      <c r="GBN129"/>
      <c r="GBO129"/>
      <c r="GBP129"/>
      <c r="GBQ129"/>
      <c r="GBR129"/>
      <c r="GBS129"/>
      <c r="GBT129"/>
      <c r="GBU129"/>
      <c r="GBV129"/>
      <c r="GBW129"/>
      <c r="GBX129"/>
      <c r="GBY129"/>
      <c r="GBZ129"/>
      <c r="GCA129"/>
      <c r="GCB129"/>
      <c r="GCC129"/>
      <c r="GCD129"/>
      <c r="GCE129"/>
      <c r="GCF129"/>
      <c r="GCG129"/>
      <c r="GCH129"/>
      <c r="GCI129"/>
      <c r="GCJ129"/>
      <c r="GCK129"/>
      <c r="GCL129"/>
      <c r="GCM129"/>
      <c r="GCN129"/>
      <c r="GCO129"/>
      <c r="GCP129"/>
      <c r="GCQ129"/>
      <c r="GCR129"/>
      <c r="GCS129"/>
      <c r="GCT129"/>
      <c r="GCU129"/>
      <c r="GCV129"/>
      <c r="GCW129"/>
      <c r="GCX129"/>
      <c r="GCY129"/>
      <c r="GCZ129"/>
      <c r="GDA129"/>
      <c r="GDB129"/>
      <c r="GDC129"/>
      <c r="GDD129"/>
      <c r="GDE129"/>
      <c r="GDF129"/>
      <c r="GDG129"/>
      <c r="GDH129"/>
      <c r="GDI129"/>
      <c r="GDJ129"/>
      <c r="GDK129"/>
      <c r="GDL129"/>
      <c r="GDM129"/>
      <c r="GDN129"/>
      <c r="GDO129"/>
      <c r="GDP129"/>
      <c r="GDQ129"/>
      <c r="GDR129"/>
      <c r="GDS129"/>
      <c r="GDT129"/>
      <c r="GDU129"/>
      <c r="GDV129"/>
      <c r="GDW129"/>
      <c r="GDX129"/>
      <c r="GDY129"/>
      <c r="GDZ129"/>
      <c r="GEA129"/>
      <c r="GEB129"/>
      <c r="GEC129"/>
      <c r="GED129"/>
      <c r="GEE129"/>
      <c r="GEF129"/>
      <c r="GEG129"/>
      <c r="GEH129"/>
      <c r="GEI129"/>
      <c r="GEJ129"/>
      <c r="GEK129"/>
      <c r="GEL129"/>
      <c r="GEM129"/>
      <c r="GEN129"/>
      <c r="GEO129"/>
      <c r="GEP129"/>
      <c r="GEQ129"/>
      <c r="GER129"/>
      <c r="GES129"/>
      <c r="GET129"/>
      <c r="GEU129"/>
      <c r="GEV129"/>
      <c r="GEW129"/>
      <c r="GEX129"/>
      <c r="GEY129"/>
      <c r="GEZ129"/>
      <c r="GFA129"/>
      <c r="GFB129"/>
      <c r="GFC129"/>
      <c r="GFD129"/>
      <c r="GFE129"/>
      <c r="GFF129"/>
      <c r="GFG129"/>
      <c r="GFH129"/>
      <c r="GFI129"/>
      <c r="GFJ129"/>
      <c r="GFK129"/>
      <c r="GFL129"/>
      <c r="GFM129"/>
      <c r="GFN129"/>
      <c r="GFO129"/>
      <c r="GFP129"/>
      <c r="GFQ129"/>
      <c r="GFR129"/>
      <c r="GFS129"/>
      <c r="GFT129"/>
      <c r="GFU129"/>
      <c r="GFV129"/>
      <c r="GFW129"/>
      <c r="GFX129"/>
      <c r="GFY129"/>
      <c r="GFZ129"/>
      <c r="GGA129"/>
      <c r="GGB129"/>
      <c r="GGC129"/>
      <c r="GGD129"/>
      <c r="GGE129"/>
      <c r="GGF129"/>
      <c r="GGG129"/>
      <c r="GGH129"/>
      <c r="GGI129"/>
      <c r="GGJ129"/>
      <c r="GGK129"/>
      <c r="GGL129"/>
      <c r="GGM129"/>
      <c r="GGN129"/>
      <c r="GGO129"/>
      <c r="GGP129"/>
      <c r="GGQ129"/>
      <c r="GGR129"/>
      <c r="GGS129"/>
      <c r="GGT129"/>
      <c r="GGU129"/>
      <c r="GGV129"/>
      <c r="GGW129"/>
      <c r="GGX129"/>
      <c r="GGY129"/>
      <c r="GGZ129"/>
      <c r="GHA129"/>
      <c r="GHB129"/>
      <c r="GHC129"/>
      <c r="GHD129"/>
      <c r="GHE129"/>
      <c r="GHF129"/>
      <c r="GHG129"/>
      <c r="GHH129"/>
      <c r="GHI129"/>
      <c r="GHJ129"/>
      <c r="GHK129"/>
      <c r="GHL129"/>
      <c r="GHM129"/>
      <c r="GHN129"/>
      <c r="GHO129"/>
      <c r="GHP129"/>
      <c r="GHQ129"/>
      <c r="GHR129"/>
      <c r="GHS129"/>
      <c r="GHT129"/>
      <c r="GHU129"/>
      <c r="GHV129"/>
      <c r="GHW129"/>
      <c r="GHX129"/>
      <c r="GHY129"/>
      <c r="GHZ129"/>
      <c r="GIA129"/>
      <c r="GIB129"/>
      <c r="GIC129"/>
      <c r="GID129"/>
      <c r="GIE129"/>
      <c r="GIF129"/>
      <c r="GIG129"/>
      <c r="GIH129"/>
      <c r="GII129"/>
      <c r="GIJ129"/>
      <c r="GIK129"/>
      <c r="GIL129"/>
      <c r="GIM129"/>
      <c r="GIN129"/>
      <c r="GIO129"/>
      <c r="GIP129"/>
      <c r="GIQ129"/>
      <c r="GIR129"/>
      <c r="GIS129"/>
      <c r="GIT129"/>
      <c r="GIU129"/>
      <c r="GIV129"/>
      <c r="GIW129"/>
      <c r="GIX129"/>
      <c r="GIY129"/>
      <c r="GIZ129"/>
      <c r="GJA129"/>
      <c r="GJB129"/>
      <c r="GJC129"/>
      <c r="GJD129"/>
      <c r="GJE129"/>
      <c r="GJF129"/>
      <c r="GJG129"/>
      <c r="GJH129"/>
      <c r="GJI129"/>
      <c r="GJJ129"/>
      <c r="GJK129"/>
      <c r="GJL129"/>
      <c r="GJM129"/>
      <c r="GJN129"/>
      <c r="GJO129"/>
      <c r="GJP129"/>
      <c r="GJQ129"/>
      <c r="GJR129"/>
      <c r="GJS129"/>
      <c r="GJT129"/>
      <c r="GJU129"/>
      <c r="GJV129"/>
      <c r="GJW129"/>
      <c r="GJX129"/>
      <c r="GJY129"/>
      <c r="GJZ129"/>
      <c r="GKA129"/>
      <c r="GKB129"/>
      <c r="GKC129"/>
      <c r="GKD129"/>
      <c r="GKE129"/>
      <c r="GKF129"/>
      <c r="GKG129"/>
      <c r="GKH129"/>
      <c r="GKI129"/>
      <c r="GKJ129"/>
      <c r="GKK129"/>
      <c r="GKL129"/>
      <c r="GKM129"/>
      <c r="GKN129"/>
      <c r="GKO129"/>
      <c r="GKP129"/>
      <c r="GKQ129"/>
      <c r="GKR129"/>
      <c r="GKS129"/>
      <c r="GKT129"/>
      <c r="GKU129"/>
      <c r="GKV129"/>
      <c r="GKW129"/>
      <c r="GKX129"/>
      <c r="GKY129"/>
      <c r="GKZ129"/>
      <c r="GLA129"/>
      <c r="GLB129"/>
      <c r="GLC129"/>
      <c r="GLD129"/>
      <c r="GLE129"/>
      <c r="GLF129"/>
      <c r="GLG129"/>
      <c r="GLH129"/>
      <c r="GLI129"/>
      <c r="GLJ129"/>
      <c r="GLK129"/>
      <c r="GLL129"/>
      <c r="GLM129"/>
      <c r="GLN129"/>
      <c r="GLO129"/>
      <c r="GLP129"/>
      <c r="GLQ129"/>
      <c r="GLR129"/>
      <c r="GLS129"/>
      <c r="GLT129"/>
      <c r="GLU129"/>
      <c r="GLV129"/>
      <c r="GLW129"/>
      <c r="GLX129"/>
      <c r="GLY129"/>
      <c r="GLZ129"/>
      <c r="GMA129"/>
      <c r="GMB129"/>
      <c r="GMC129"/>
      <c r="GMD129"/>
      <c r="GME129"/>
      <c r="GMF129"/>
      <c r="GMG129"/>
      <c r="GMH129"/>
      <c r="GMI129"/>
      <c r="GMJ129"/>
      <c r="GMK129"/>
      <c r="GML129"/>
      <c r="GMM129"/>
      <c r="GMN129"/>
      <c r="GMO129"/>
      <c r="GMP129"/>
      <c r="GMQ129"/>
      <c r="GMR129"/>
      <c r="GMS129"/>
      <c r="GMT129"/>
      <c r="GMU129"/>
      <c r="GMV129"/>
      <c r="GMW129"/>
      <c r="GMX129"/>
      <c r="GMY129"/>
      <c r="GMZ129"/>
      <c r="GNA129"/>
      <c r="GNB129"/>
      <c r="GNC129"/>
      <c r="GND129"/>
      <c r="GNE129"/>
      <c r="GNF129"/>
      <c r="GNG129"/>
      <c r="GNH129"/>
      <c r="GNI129"/>
      <c r="GNJ129"/>
      <c r="GNK129"/>
      <c r="GNL129"/>
      <c r="GNM129"/>
      <c r="GNN129"/>
      <c r="GNO129"/>
      <c r="GNP129"/>
      <c r="GNQ129"/>
      <c r="GNR129"/>
      <c r="GNS129"/>
      <c r="GNT129"/>
      <c r="GNU129"/>
      <c r="GNV129"/>
      <c r="GNW129"/>
      <c r="GNX129"/>
      <c r="GNY129"/>
      <c r="GNZ129"/>
      <c r="GOA129"/>
      <c r="GOB129"/>
      <c r="GOC129"/>
      <c r="GOD129"/>
      <c r="GOE129"/>
      <c r="GOF129"/>
      <c r="GOG129"/>
      <c r="GOH129"/>
      <c r="GOI129"/>
      <c r="GOJ129"/>
      <c r="GOK129"/>
      <c r="GOL129"/>
      <c r="GOM129"/>
      <c r="GON129"/>
      <c r="GOO129"/>
      <c r="GOP129"/>
      <c r="GOQ129"/>
      <c r="GOR129"/>
      <c r="GOS129"/>
      <c r="GOT129"/>
      <c r="GOU129"/>
      <c r="GOV129"/>
      <c r="GOW129"/>
      <c r="GOX129"/>
      <c r="GOY129"/>
      <c r="GOZ129"/>
      <c r="GPA129"/>
      <c r="GPB129"/>
      <c r="GPC129"/>
      <c r="GPD129"/>
      <c r="GPE129"/>
      <c r="GPF129"/>
      <c r="GPG129"/>
      <c r="GPH129"/>
      <c r="GPI129"/>
      <c r="GPJ129"/>
      <c r="GPK129"/>
      <c r="GPL129"/>
      <c r="GPM129"/>
      <c r="GPN129"/>
      <c r="GPO129"/>
      <c r="GPP129"/>
      <c r="GPQ129"/>
      <c r="GPR129"/>
      <c r="GPS129"/>
      <c r="GPT129"/>
      <c r="GPU129"/>
      <c r="GPV129"/>
      <c r="GPW129"/>
      <c r="GPX129"/>
      <c r="GPY129"/>
      <c r="GPZ129"/>
      <c r="GQA129"/>
      <c r="GQB129"/>
      <c r="GQC129"/>
      <c r="GQD129"/>
      <c r="GQE129"/>
      <c r="GQF129"/>
      <c r="GQG129"/>
      <c r="GQH129"/>
      <c r="GQI129"/>
      <c r="GQJ129"/>
      <c r="GQK129"/>
      <c r="GQL129"/>
      <c r="GQM129"/>
      <c r="GQN129"/>
      <c r="GQO129"/>
      <c r="GQP129"/>
      <c r="GQQ129"/>
      <c r="GQR129"/>
      <c r="GQS129"/>
      <c r="GQT129"/>
      <c r="GQU129"/>
      <c r="GQV129"/>
      <c r="GQW129"/>
      <c r="GQX129"/>
      <c r="GQY129"/>
      <c r="GQZ129"/>
      <c r="GRA129"/>
      <c r="GRB129"/>
      <c r="GRC129"/>
      <c r="GRD129"/>
      <c r="GRE129"/>
      <c r="GRF129"/>
      <c r="GRG129"/>
      <c r="GRH129"/>
      <c r="GRI129"/>
      <c r="GRJ129"/>
      <c r="GRK129"/>
      <c r="GRL129"/>
      <c r="GRM129"/>
      <c r="GRN129"/>
      <c r="GRO129"/>
      <c r="GRP129"/>
      <c r="GRQ129"/>
      <c r="GRR129"/>
      <c r="GRS129"/>
      <c r="GRT129"/>
      <c r="GRU129"/>
      <c r="GRV129"/>
      <c r="GRW129"/>
      <c r="GRX129"/>
      <c r="GRY129"/>
      <c r="GRZ129"/>
      <c r="GSA129"/>
      <c r="GSB129"/>
      <c r="GSC129"/>
      <c r="GSD129"/>
      <c r="GSE129"/>
      <c r="GSF129"/>
      <c r="GSG129"/>
      <c r="GSH129"/>
      <c r="GSI129"/>
      <c r="GSJ129"/>
      <c r="GSK129"/>
      <c r="GSL129"/>
      <c r="GSM129"/>
      <c r="GSN129"/>
      <c r="GSO129"/>
      <c r="GSP129"/>
      <c r="GSQ129"/>
      <c r="GSR129"/>
      <c r="GSS129"/>
      <c r="GST129"/>
      <c r="GSU129"/>
      <c r="GSV129"/>
      <c r="GSW129"/>
      <c r="GSX129"/>
      <c r="GSY129"/>
      <c r="GSZ129"/>
      <c r="GTA129"/>
      <c r="GTB129"/>
      <c r="GTC129"/>
      <c r="GTD129"/>
      <c r="GTE129"/>
      <c r="GTF129"/>
      <c r="GTG129"/>
      <c r="GTH129"/>
      <c r="GTI129"/>
      <c r="GTJ129"/>
      <c r="GTK129"/>
      <c r="GTL129"/>
      <c r="GTM129"/>
      <c r="GTN129"/>
      <c r="GTO129"/>
      <c r="GTP129"/>
      <c r="GTQ129"/>
      <c r="GTR129"/>
      <c r="GTS129"/>
      <c r="GTT129"/>
      <c r="GTU129"/>
      <c r="GTV129"/>
      <c r="GTW129"/>
      <c r="GTX129"/>
      <c r="GTY129"/>
      <c r="GTZ129"/>
      <c r="GUA129"/>
      <c r="GUB129"/>
      <c r="GUC129"/>
      <c r="GUD129"/>
      <c r="GUE129"/>
      <c r="GUF129"/>
      <c r="GUG129"/>
      <c r="GUH129"/>
      <c r="GUI129"/>
      <c r="GUJ129"/>
      <c r="GUK129"/>
      <c r="GUL129"/>
      <c r="GUM129"/>
      <c r="GUN129"/>
      <c r="GUO129"/>
      <c r="GUP129"/>
      <c r="GUQ129"/>
      <c r="GUR129"/>
      <c r="GUS129"/>
      <c r="GUT129"/>
      <c r="GUU129"/>
      <c r="GUV129"/>
      <c r="GUW129"/>
      <c r="GUX129"/>
      <c r="GUY129"/>
      <c r="GUZ129"/>
      <c r="GVA129"/>
      <c r="GVB129"/>
      <c r="GVC129"/>
      <c r="GVD129"/>
      <c r="GVE129"/>
      <c r="GVF129"/>
      <c r="GVG129"/>
      <c r="GVH129"/>
      <c r="GVI129"/>
      <c r="GVJ129"/>
      <c r="GVK129"/>
      <c r="GVL129"/>
      <c r="GVM129"/>
      <c r="GVN129"/>
      <c r="GVO129"/>
      <c r="GVP129"/>
      <c r="GVQ129"/>
      <c r="GVR129"/>
      <c r="GVS129"/>
      <c r="GVT129"/>
      <c r="GVU129"/>
      <c r="GVV129"/>
      <c r="GVW129"/>
      <c r="GVX129"/>
      <c r="GVY129"/>
      <c r="GVZ129"/>
      <c r="GWA129"/>
      <c r="GWB129"/>
      <c r="GWC129"/>
      <c r="GWD129"/>
      <c r="GWE129"/>
      <c r="GWF129"/>
      <c r="GWG129"/>
      <c r="GWH129"/>
      <c r="GWI129"/>
      <c r="GWJ129"/>
      <c r="GWK129"/>
      <c r="GWL129"/>
      <c r="GWM129"/>
      <c r="GWN129"/>
      <c r="GWO129"/>
      <c r="GWP129"/>
      <c r="GWQ129"/>
      <c r="GWR129"/>
      <c r="GWS129"/>
      <c r="GWT129"/>
      <c r="GWU129"/>
      <c r="GWV129"/>
      <c r="GWW129"/>
      <c r="GWX129"/>
      <c r="GWY129"/>
      <c r="GWZ129"/>
      <c r="GXA129"/>
      <c r="GXB129"/>
      <c r="GXC129"/>
      <c r="GXD129"/>
      <c r="GXE129"/>
      <c r="GXF129"/>
      <c r="GXG129"/>
      <c r="GXH129"/>
      <c r="GXI129"/>
      <c r="GXJ129"/>
      <c r="GXK129"/>
      <c r="GXL129"/>
      <c r="GXM129"/>
      <c r="GXN129"/>
      <c r="GXO129"/>
      <c r="GXP129"/>
      <c r="GXQ129"/>
      <c r="GXR129"/>
      <c r="GXS129"/>
      <c r="GXT129"/>
      <c r="GXU129"/>
      <c r="GXV129"/>
      <c r="GXW129"/>
      <c r="GXX129"/>
      <c r="GXY129"/>
      <c r="GXZ129"/>
      <c r="GYA129"/>
      <c r="GYB129"/>
      <c r="GYC129"/>
      <c r="GYD129"/>
      <c r="GYE129"/>
      <c r="GYF129"/>
      <c r="GYG129"/>
      <c r="GYH129"/>
      <c r="GYI129"/>
      <c r="GYJ129"/>
      <c r="GYK129"/>
      <c r="GYL129"/>
      <c r="GYM129"/>
      <c r="GYN129"/>
      <c r="GYO129"/>
      <c r="GYP129"/>
      <c r="GYQ129"/>
      <c r="GYR129"/>
      <c r="GYS129"/>
      <c r="GYT129"/>
      <c r="GYU129"/>
      <c r="GYV129"/>
      <c r="GYW129"/>
      <c r="GYX129"/>
      <c r="GYY129"/>
      <c r="GYZ129"/>
      <c r="GZA129"/>
      <c r="GZB129"/>
      <c r="GZC129"/>
      <c r="GZD129"/>
      <c r="GZE129"/>
      <c r="GZF129"/>
      <c r="GZG129"/>
      <c r="GZH129"/>
      <c r="GZI129"/>
      <c r="GZJ129"/>
      <c r="GZK129"/>
      <c r="GZL129"/>
      <c r="GZM129"/>
      <c r="GZN129"/>
      <c r="GZO129"/>
      <c r="GZP129"/>
      <c r="GZQ129"/>
      <c r="GZR129"/>
      <c r="GZS129"/>
      <c r="GZT129"/>
      <c r="GZU129"/>
      <c r="GZV129"/>
      <c r="GZW129"/>
      <c r="GZX129"/>
      <c r="GZY129"/>
      <c r="GZZ129"/>
      <c r="HAA129"/>
      <c r="HAB129"/>
      <c r="HAC129"/>
      <c r="HAD129"/>
      <c r="HAE129"/>
      <c r="HAF129"/>
      <c r="HAG129"/>
      <c r="HAH129"/>
      <c r="HAI129"/>
      <c r="HAJ129"/>
      <c r="HAK129"/>
      <c r="HAL129"/>
      <c r="HAM129"/>
      <c r="HAN129"/>
      <c r="HAO129"/>
      <c r="HAP129"/>
      <c r="HAQ129"/>
      <c r="HAR129"/>
      <c r="HAS129"/>
      <c r="HAT129"/>
      <c r="HAU129"/>
      <c r="HAV129"/>
      <c r="HAW129"/>
      <c r="HAX129"/>
      <c r="HAY129"/>
      <c r="HAZ129"/>
      <c r="HBA129"/>
      <c r="HBB129"/>
      <c r="HBC129"/>
      <c r="HBD129"/>
      <c r="HBE129"/>
      <c r="HBF129"/>
      <c r="HBG129"/>
      <c r="HBH129"/>
      <c r="HBI129"/>
      <c r="HBJ129"/>
      <c r="HBK129"/>
      <c r="HBL129"/>
      <c r="HBM129"/>
      <c r="HBN129"/>
      <c r="HBO129"/>
      <c r="HBP129"/>
      <c r="HBQ129"/>
      <c r="HBR129"/>
      <c r="HBS129"/>
      <c r="HBT129"/>
      <c r="HBU129"/>
      <c r="HBV129"/>
      <c r="HBW129"/>
      <c r="HBX129"/>
      <c r="HBY129"/>
      <c r="HBZ129"/>
      <c r="HCA129"/>
      <c r="HCB129"/>
      <c r="HCC129"/>
      <c r="HCD129"/>
      <c r="HCE129"/>
      <c r="HCF129"/>
      <c r="HCG129"/>
      <c r="HCH129"/>
      <c r="HCI129"/>
      <c r="HCJ129"/>
      <c r="HCK129"/>
      <c r="HCL129"/>
      <c r="HCM129"/>
      <c r="HCN129"/>
      <c r="HCO129"/>
      <c r="HCP129"/>
      <c r="HCQ129"/>
      <c r="HCR129"/>
      <c r="HCS129"/>
      <c r="HCT129"/>
      <c r="HCU129"/>
      <c r="HCV129"/>
      <c r="HCW129"/>
      <c r="HCX129"/>
      <c r="HCY129"/>
      <c r="HCZ129"/>
      <c r="HDA129"/>
      <c r="HDB129"/>
      <c r="HDC129"/>
      <c r="HDD129"/>
      <c r="HDE129"/>
      <c r="HDF129"/>
      <c r="HDG129"/>
      <c r="HDH129"/>
      <c r="HDI129"/>
      <c r="HDJ129"/>
      <c r="HDK129"/>
      <c r="HDL129"/>
      <c r="HDM129"/>
      <c r="HDN129"/>
      <c r="HDO129"/>
      <c r="HDP129"/>
      <c r="HDQ129"/>
      <c r="HDR129"/>
      <c r="HDS129"/>
      <c r="HDT129"/>
      <c r="HDU129"/>
      <c r="HDV129"/>
      <c r="HDW129"/>
      <c r="HDX129"/>
      <c r="HDY129"/>
      <c r="HDZ129"/>
      <c r="HEA129"/>
      <c r="HEB129"/>
      <c r="HEC129"/>
      <c r="HED129"/>
      <c r="HEE129"/>
      <c r="HEF129"/>
      <c r="HEG129"/>
      <c r="HEH129"/>
      <c r="HEI129"/>
      <c r="HEJ129"/>
      <c r="HEK129"/>
      <c r="HEL129"/>
      <c r="HEM129"/>
      <c r="HEN129"/>
      <c r="HEO129"/>
      <c r="HEP129"/>
      <c r="HEQ129"/>
      <c r="HER129"/>
      <c r="HES129"/>
      <c r="HET129"/>
      <c r="HEU129"/>
      <c r="HEV129"/>
      <c r="HEW129"/>
      <c r="HEX129"/>
      <c r="HEY129"/>
      <c r="HEZ129"/>
      <c r="HFA129"/>
      <c r="HFB129"/>
      <c r="HFC129"/>
      <c r="HFD129"/>
      <c r="HFE129"/>
      <c r="HFF129"/>
      <c r="HFG129"/>
      <c r="HFH129"/>
      <c r="HFI129"/>
      <c r="HFJ129"/>
      <c r="HFK129"/>
      <c r="HFL129"/>
      <c r="HFM129"/>
      <c r="HFN129"/>
      <c r="HFO129"/>
      <c r="HFP129"/>
      <c r="HFQ129"/>
      <c r="HFR129"/>
      <c r="HFS129"/>
      <c r="HFT129"/>
      <c r="HFU129"/>
      <c r="HFV129"/>
      <c r="HFW129"/>
      <c r="HFX129"/>
      <c r="HFY129"/>
      <c r="HFZ129"/>
      <c r="HGA129"/>
      <c r="HGB129"/>
      <c r="HGC129"/>
      <c r="HGD129"/>
      <c r="HGE129"/>
      <c r="HGF129"/>
      <c r="HGG129"/>
      <c r="HGH129"/>
      <c r="HGI129"/>
      <c r="HGJ129"/>
      <c r="HGK129"/>
      <c r="HGL129"/>
      <c r="HGM129"/>
      <c r="HGN129"/>
      <c r="HGO129"/>
      <c r="HGP129"/>
      <c r="HGQ129"/>
      <c r="HGR129"/>
      <c r="HGS129"/>
      <c r="HGT129"/>
      <c r="HGU129"/>
      <c r="HGV129"/>
      <c r="HGW129"/>
      <c r="HGX129"/>
      <c r="HGY129"/>
      <c r="HGZ129"/>
      <c r="HHA129"/>
      <c r="HHB129"/>
      <c r="HHC129"/>
      <c r="HHD129"/>
      <c r="HHE129"/>
      <c r="HHF129"/>
      <c r="HHG129"/>
      <c r="HHH129"/>
      <c r="HHI129"/>
      <c r="HHJ129"/>
      <c r="HHK129"/>
      <c r="HHL129"/>
      <c r="HHM129"/>
      <c r="HHN129"/>
      <c r="HHO129"/>
      <c r="HHP129"/>
      <c r="HHQ129"/>
      <c r="HHR129"/>
      <c r="HHS129"/>
      <c r="HHT129"/>
      <c r="HHU129"/>
      <c r="HHV129"/>
      <c r="HHW129"/>
      <c r="HHX129"/>
      <c r="HHY129"/>
      <c r="HHZ129"/>
      <c r="HIA129"/>
      <c r="HIB129"/>
      <c r="HIC129"/>
      <c r="HID129"/>
      <c r="HIE129"/>
      <c r="HIF129"/>
      <c r="HIG129"/>
      <c r="HIH129"/>
      <c r="HII129"/>
      <c r="HIJ129"/>
      <c r="HIK129"/>
      <c r="HIL129"/>
      <c r="HIM129"/>
      <c r="HIN129"/>
      <c r="HIO129"/>
      <c r="HIP129"/>
      <c r="HIQ129"/>
      <c r="HIR129"/>
      <c r="HIS129"/>
      <c r="HIT129"/>
      <c r="HIU129"/>
      <c r="HIV129"/>
      <c r="HIW129"/>
      <c r="HIX129"/>
      <c r="HIY129"/>
      <c r="HIZ129"/>
      <c r="HJA129"/>
      <c r="HJB129"/>
      <c r="HJC129"/>
      <c r="HJD129"/>
      <c r="HJE129"/>
      <c r="HJF129"/>
      <c r="HJG129"/>
      <c r="HJH129"/>
      <c r="HJI129"/>
      <c r="HJJ129"/>
      <c r="HJK129"/>
      <c r="HJL129"/>
      <c r="HJM129"/>
      <c r="HJN129"/>
      <c r="HJO129"/>
      <c r="HJP129"/>
      <c r="HJQ129"/>
      <c r="HJR129"/>
      <c r="HJS129"/>
      <c r="HJT129"/>
      <c r="HJU129"/>
      <c r="HJV129"/>
      <c r="HJW129"/>
      <c r="HJX129"/>
      <c r="HJY129"/>
      <c r="HJZ129"/>
      <c r="HKA129"/>
      <c r="HKB129"/>
      <c r="HKC129"/>
      <c r="HKD129"/>
      <c r="HKE129"/>
      <c r="HKF129"/>
      <c r="HKG129"/>
      <c r="HKH129"/>
      <c r="HKI129"/>
      <c r="HKJ129"/>
      <c r="HKK129"/>
      <c r="HKL129"/>
      <c r="HKM129"/>
      <c r="HKN129"/>
      <c r="HKO129"/>
      <c r="HKP129"/>
      <c r="HKQ129"/>
      <c r="HKR129"/>
      <c r="HKS129"/>
      <c r="HKT129"/>
      <c r="HKU129"/>
      <c r="HKV129"/>
      <c r="HKW129"/>
      <c r="HKX129"/>
      <c r="HKY129"/>
      <c r="HKZ129"/>
      <c r="HLA129"/>
      <c r="HLB129"/>
      <c r="HLC129"/>
      <c r="HLD129"/>
      <c r="HLE129"/>
      <c r="HLF129"/>
      <c r="HLG129"/>
      <c r="HLH129"/>
      <c r="HLI129"/>
      <c r="HLJ129"/>
      <c r="HLK129"/>
      <c r="HLL129"/>
      <c r="HLM129"/>
      <c r="HLN129"/>
      <c r="HLO129"/>
      <c r="HLP129"/>
      <c r="HLQ129"/>
      <c r="HLR129"/>
      <c r="HLS129"/>
      <c r="HLT129"/>
      <c r="HLU129"/>
      <c r="HLV129"/>
      <c r="HLW129"/>
      <c r="HLX129"/>
      <c r="HLY129"/>
      <c r="HLZ129"/>
      <c r="HMA129"/>
      <c r="HMB129"/>
      <c r="HMC129"/>
      <c r="HMD129"/>
      <c r="HME129"/>
      <c r="HMF129"/>
      <c r="HMG129"/>
      <c r="HMH129"/>
      <c r="HMI129"/>
      <c r="HMJ129"/>
      <c r="HMK129"/>
      <c r="HML129"/>
      <c r="HMM129"/>
      <c r="HMN129"/>
      <c r="HMO129"/>
      <c r="HMP129"/>
      <c r="HMQ129"/>
      <c r="HMR129"/>
      <c r="HMS129"/>
      <c r="HMT129"/>
      <c r="HMU129"/>
      <c r="HMV129"/>
      <c r="HMW129"/>
      <c r="HMX129"/>
      <c r="HMY129"/>
      <c r="HMZ129"/>
      <c r="HNA129"/>
      <c r="HNB129"/>
      <c r="HNC129"/>
      <c r="HND129"/>
      <c r="HNE129"/>
      <c r="HNF129"/>
      <c r="HNG129"/>
      <c r="HNH129"/>
      <c r="HNI129"/>
      <c r="HNJ129"/>
      <c r="HNK129"/>
      <c r="HNL129"/>
      <c r="HNM129"/>
      <c r="HNN129"/>
      <c r="HNO129"/>
      <c r="HNP129"/>
      <c r="HNQ129"/>
      <c r="HNR129"/>
      <c r="HNS129"/>
      <c r="HNT129"/>
      <c r="HNU129"/>
      <c r="HNV129"/>
      <c r="HNW129"/>
      <c r="HNX129"/>
      <c r="HNY129"/>
      <c r="HNZ129"/>
      <c r="HOA129"/>
      <c r="HOB129"/>
      <c r="HOC129"/>
      <c r="HOD129"/>
      <c r="HOE129"/>
      <c r="HOF129"/>
      <c r="HOG129"/>
      <c r="HOH129"/>
      <c r="HOI129"/>
      <c r="HOJ129"/>
      <c r="HOK129"/>
      <c r="HOL129"/>
      <c r="HOM129"/>
      <c r="HON129"/>
      <c r="HOO129"/>
      <c r="HOP129"/>
      <c r="HOQ129"/>
      <c r="HOR129"/>
      <c r="HOS129"/>
      <c r="HOT129"/>
      <c r="HOU129"/>
      <c r="HOV129"/>
      <c r="HOW129"/>
      <c r="HOX129"/>
      <c r="HOY129"/>
      <c r="HOZ129"/>
      <c r="HPA129"/>
      <c r="HPB129"/>
      <c r="HPC129"/>
      <c r="HPD129"/>
      <c r="HPE129"/>
      <c r="HPF129"/>
      <c r="HPG129"/>
      <c r="HPH129"/>
      <c r="HPI129"/>
      <c r="HPJ129"/>
      <c r="HPK129"/>
      <c r="HPL129"/>
      <c r="HPM129"/>
      <c r="HPN129"/>
      <c r="HPO129"/>
      <c r="HPP129"/>
      <c r="HPQ129"/>
      <c r="HPR129"/>
      <c r="HPS129"/>
      <c r="HPT129"/>
      <c r="HPU129"/>
      <c r="HPV129"/>
      <c r="HPW129"/>
      <c r="HPX129"/>
      <c r="HPY129"/>
      <c r="HPZ129"/>
      <c r="HQA129"/>
      <c r="HQB129"/>
      <c r="HQC129"/>
      <c r="HQD129"/>
      <c r="HQE129"/>
      <c r="HQF129"/>
      <c r="HQG129"/>
      <c r="HQH129"/>
      <c r="HQI129"/>
      <c r="HQJ129"/>
      <c r="HQK129"/>
      <c r="HQL129"/>
      <c r="HQM129"/>
      <c r="HQN129"/>
      <c r="HQO129"/>
      <c r="HQP129"/>
      <c r="HQQ129"/>
      <c r="HQR129"/>
      <c r="HQS129"/>
      <c r="HQT129"/>
      <c r="HQU129"/>
      <c r="HQV129"/>
      <c r="HQW129"/>
      <c r="HQX129"/>
      <c r="HQY129"/>
      <c r="HQZ129"/>
      <c r="HRA129"/>
      <c r="HRB129"/>
      <c r="HRC129"/>
      <c r="HRD129"/>
      <c r="HRE129"/>
      <c r="HRF129"/>
      <c r="HRG129"/>
      <c r="HRH129"/>
      <c r="HRI129"/>
      <c r="HRJ129"/>
      <c r="HRK129"/>
      <c r="HRL129"/>
      <c r="HRM129"/>
      <c r="HRN129"/>
      <c r="HRO129"/>
      <c r="HRP129"/>
      <c r="HRQ129"/>
      <c r="HRR129"/>
      <c r="HRS129"/>
      <c r="HRT129"/>
      <c r="HRU129"/>
      <c r="HRV129"/>
      <c r="HRW129"/>
      <c r="HRX129"/>
      <c r="HRY129"/>
      <c r="HRZ129"/>
      <c r="HSA129"/>
      <c r="HSB129"/>
      <c r="HSC129"/>
      <c r="HSD129"/>
      <c r="HSE129"/>
      <c r="HSF129"/>
      <c r="HSG129"/>
      <c r="HSH129"/>
      <c r="HSI129"/>
      <c r="HSJ129"/>
      <c r="HSK129"/>
      <c r="HSL129"/>
      <c r="HSM129"/>
      <c r="HSN129"/>
      <c r="HSO129"/>
      <c r="HSP129"/>
      <c r="HSQ129"/>
      <c r="HSR129"/>
      <c r="HSS129"/>
      <c r="HST129"/>
      <c r="HSU129"/>
      <c r="HSV129"/>
      <c r="HSW129"/>
      <c r="HSX129"/>
      <c r="HSY129"/>
      <c r="HSZ129"/>
      <c r="HTA129"/>
      <c r="HTB129"/>
      <c r="HTC129"/>
      <c r="HTD129"/>
      <c r="HTE129"/>
      <c r="HTF129"/>
      <c r="HTG129"/>
      <c r="HTH129"/>
      <c r="HTI129"/>
      <c r="HTJ129"/>
      <c r="HTK129"/>
      <c r="HTL129"/>
      <c r="HTM129"/>
      <c r="HTN129"/>
      <c r="HTO129"/>
      <c r="HTP129"/>
      <c r="HTQ129"/>
      <c r="HTR129"/>
      <c r="HTS129"/>
      <c r="HTT129"/>
      <c r="HTU129"/>
      <c r="HTV129"/>
      <c r="HTW129"/>
      <c r="HTX129"/>
      <c r="HTY129"/>
      <c r="HTZ129"/>
      <c r="HUA129"/>
      <c r="HUB129"/>
      <c r="HUC129"/>
      <c r="HUD129"/>
      <c r="HUE129"/>
      <c r="HUF129"/>
      <c r="HUG129"/>
      <c r="HUH129"/>
      <c r="HUI129"/>
      <c r="HUJ129"/>
      <c r="HUK129"/>
      <c r="HUL129"/>
      <c r="HUM129"/>
      <c r="HUN129"/>
      <c r="HUO129"/>
      <c r="HUP129"/>
      <c r="HUQ129"/>
      <c r="HUR129"/>
      <c r="HUS129"/>
      <c r="HUT129"/>
      <c r="HUU129"/>
      <c r="HUV129"/>
      <c r="HUW129"/>
      <c r="HUX129"/>
      <c r="HUY129"/>
      <c r="HUZ129"/>
      <c r="HVA129"/>
      <c r="HVB129"/>
      <c r="HVC129"/>
      <c r="HVD129"/>
      <c r="HVE129"/>
      <c r="HVF129"/>
      <c r="HVG129"/>
      <c r="HVH129"/>
      <c r="HVI129"/>
      <c r="HVJ129"/>
      <c r="HVK129"/>
      <c r="HVL129"/>
      <c r="HVM129"/>
      <c r="HVN129"/>
      <c r="HVO129"/>
      <c r="HVP129"/>
      <c r="HVQ129"/>
      <c r="HVR129"/>
      <c r="HVS129"/>
      <c r="HVT129"/>
      <c r="HVU129"/>
      <c r="HVV129"/>
      <c r="HVW129"/>
      <c r="HVX129"/>
      <c r="HVY129"/>
      <c r="HVZ129"/>
      <c r="HWA129"/>
      <c r="HWB129"/>
      <c r="HWC129"/>
      <c r="HWD129"/>
      <c r="HWE129"/>
      <c r="HWF129"/>
      <c r="HWG129"/>
      <c r="HWH129"/>
      <c r="HWI129"/>
      <c r="HWJ129"/>
      <c r="HWK129"/>
      <c r="HWL129"/>
      <c r="HWM129"/>
      <c r="HWN129"/>
      <c r="HWO129"/>
      <c r="HWP129"/>
      <c r="HWQ129"/>
      <c r="HWR129"/>
      <c r="HWS129"/>
      <c r="HWT129"/>
      <c r="HWU129"/>
      <c r="HWV129"/>
      <c r="HWW129"/>
      <c r="HWX129"/>
      <c r="HWY129"/>
      <c r="HWZ129"/>
      <c r="HXA129"/>
      <c r="HXB129"/>
      <c r="HXC129"/>
      <c r="HXD129"/>
      <c r="HXE129"/>
      <c r="HXF129"/>
      <c r="HXG129"/>
      <c r="HXH129"/>
      <c r="HXI129"/>
      <c r="HXJ129"/>
      <c r="HXK129"/>
      <c r="HXL129"/>
      <c r="HXM129"/>
      <c r="HXN129"/>
      <c r="HXO129"/>
      <c r="HXP129"/>
      <c r="HXQ129"/>
      <c r="HXR129"/>
      <c r="HXS129"/>
      <c r="HXT129"/>
      <c r="HXU129"/>
      <c r="HXV129"/>
      <c r="HXW129"/>
      <c r="HXX129"/>
      <c r="HXY129"/>
      <c r="HXZ129"/>
      <c r="HYA129"/>
      <c r="HYB129"/>
      <c r="HYC129"/>
      <c r="HYD129"/>
      <c r="HYE129"/>
      <c r="HYF129"/>
      <c r="HYG129"/>
      <c r="HYH129"/>
      <c r="HYI129"/>
      <c r="HYJ129"/>
      <c r="HYK129"/>
      <c r="HYL129"/>
      <c r="HYM129"/>
      <c r="HYN129"/>
      <c r="HYO129"/>
      <c r="HYP129"/>
      <c r="HYQ129"/>
      <c r="HYR129"/>
      <c r="HYS129"/>
      <c r="HYT129"/>
      <c r="HYU129"/>
      <c r="HYV129"/>
      <c r="HYW129"/>
      <c r="HYX129"/>
      <c r="HYY129"/>
      <c r="HYZ129"/>
      <c r="HZA129"/>
      <c r="HZB129"/>
      <c r="HZC129"/>
      <c r="HZD129"/>
      <c r="HZE129"/>
      <c r="HZF129"/>
      <c r="HZG129"/>
      <c r="HZH129"/>
      <c r="HZI129"/>
      <c r="HZJ129"/>
      <c r="HZK129"/>
      <c r="HZL129"/>
      <c r="HZM129"/>
      <c r="HZN129"/>
      <c r="HZO129"/>
      <c r="HZP129"/>
      <c r="HZQ129"/>
      <c r="HZR129"/>
      <c r="HZS129"/>
      <c r="HZT129"/>
      <c r="HZU129"/>
      <c r="HZV129"/>
      <c r="HZW129"/>
      <c r="HZX129"/>
      <c r="HZY129"/>
      <c r="HZZ129"/>
      <c r="IAA129"/>
      <c r="IAB129"/>
      <c r="IAC129"/>
      <c r="IAD129"/>
      <c r="IAE129"/>
      <c r="IAF129"/>
      <c r="IAG129"/>
      <c r="IAH129"/>
      <c r="IAI129"/>
      <c r="IAJ129"/>
      <c r="IAK129"/>
      <c r="IAL129"/>
      <c r="IAM129"/>
      <c r="IAN129"/>
      <c r="IAO129"/>
      <c r="IAP129"/>
      <c r="IAQ129"/>
      <c r="IAR129"/>
      <c r="IAS129"/>
      <c r="IAT129"/>
      <c r="IAU129"/>
      <c r="IAV129"/>
      <c r="IAW129"/>
      <c r="IAX129"/>
      <c r="IAY129"/>
      <c r="IAZ129"/>
      <c r="IBA129"/>
      <c r="IBB129"/>
      <c r="IBC129"/>
      <c r="IBD129"/>
      <c r="IBE129"/>
      <c r="IBF129"/>
      <c r="IBG129"/>
      <c r="IBH129"/>
      <c r="IBI129"/>
      <c r="IBJ129"/>
      <c r="IBK129"/>
      <c r="IBL129"/>
      <c r="IBM129"/>
      <c r="IBN129"/>
      <c r="IBO129"/>
      <c r="IBP129"/>
      <c r="IBQ129"/>
      <c r="IBR129"/>
      <c r="IBS129"/>
      <c r="IBT129"/>
      <c r="IBU129"/>
      <c r="IBV129"/>
      <c r="IBW129"/>
      <c r="IBX129"/>
      <c r="IBY129"/>
      <c r="IBZ129"/>
      <c r="ICA129"/>
      <c r="ICB129"/>
      <c r="ICC129"/>
      <c r="ICD129"/>
      <c r="ICE129"/>
      <c r="ICF129"/>
      <c r="ICG129"/>
      <c r="ICH129"/>
      <c r="ICI129"/>
      <c r="ICJ129"/>
      <c r="ICK129"/>
      <c r="ICL129"/>
      <c r="ICM129"/>
      <c r="ICN129"/>
      <c r="ICO129"/>
      <c r="ICP129"/>
      <c r="ICQ129"/>
      <c r="ICR129"/>
      <c r="ICS129"/>
      <c r="ICT129"/>
      <c r="ICU129"/>
      <c r="ICV129"/>
      <c r="ICW129"/>
      <c r="ICX129"/>
      <c r="ICY129"/>
      <c r="ICZ129"/>
      <c r="IDA129"/>
      <c r="IDB129"/>
      <c r="IDC129"/>
      <c r="IDD129"/>
      <c r="IDE129"/>
      <c r="IDF129"/>
      <c r="IDG129"/>
      <c r="IDH129"/>
      <c r="IDI129"/>
      <c r="IDJ129"/>
      <c r="IDK129"/>
      <c r="IDL129"/>
      <c r="IDM129"/>
      <c r="IDN129"/>
      <c r="IDO129"/>
      <c r="IDP129"/>
      <c r="IDQ129"/>
      <c r="IDR129"/>
      <c r="IDS129"/>
      <c r="IDT129"/>
      <c r="IDU129"/>
      <c r="IDV129"/>
      <c r="IDW129"/>
      <c r="IDX129"/>
      <c r="IDY129"/>
      <c r="IDZ129"/>
      <c r="IEA129"/>
      <c r="IEB129"/>
      <c r="IEC129"/>
      <c r="IED129"/>
      <c r="IEE129"/>
      <c r="IEF129"/>
      <c r="IEG129"/>
      <c r="IEH129"/>
      <c r="IEI129"/>
      <c r="IEJ129"/>
      <c r="IEK129"/>
      <c r="IEL129"/>
      <c r="IEM129"/>
      <c r="IEN129"/>
      <c r="IEO129"/>
      <c r="IEP129"/>
      <c r="IEQ129"/>
      <c r="IER129"/>
      <c r="IES129"/>
      <c r="IET129"/>
      <c r="IEU129"/>
      <c r="IEV129"/>
      <c r="IEW129"/>
      <c r="IEX129"/>
      <c r="IEY129"/>
      <c r="IEZ129"/>
      <c r="IFA129"/>
      <c r="IFB129"/>
      <c r="IFC129"/>
      <c r="IFD129"/>
      <c r="IFE129"/>
      <c r="IFF129"/>
      <c r="IFG129"/>
      <c r="IFH129"/>
      <c r="IFI129"/>
      <c r="IFJ129"/>
      <c r="IFK129"/>
      <c r="IFL129"/>
      <c r="IFM129"/>
      <c r="IFN129"/>
      <c r="IFO129"/>
      <c r="IFP129"/>
      <c r="IFQ129"/>
      <c r="IFR129"/>
      <c r="IFS129"/>
      <c r="IFT129"/>
      <c r="IFU129"/>
      <c r="IFV129"/>
      <c r="IFW129"/>
      <c r="IFX129"/>
      <c r="IFY129"/>
      <c r="IFZ129"/>
      <c r="IGA129"/>
      <c r="IGB129"/>
      <c r="IGC129"/>
      <c r="IGD129"/>
      <c r="IGE129"/>
      <c r="IGF129"/>
      <c r="IGG129"/>
      <c r="IGH129"/>
      <c r="IGI129"/>
      <c r="IGJ129"/>
      <c r="IGK129"/>
      <c r="IGL129"/>
      <c r="IGM129"/>
      <c r="IGN129"/>
      <c r="IGO129"/>
      <c r="IGP129"/>
      <c r="IGQ129"/>
      <c r="IGR129"/>
      <c r="IGS129"/>
      <c r="IGT129"/>
      <c r="IGU129"/>
      <c r="IGV129"/>
      <c r="IGW129"/>
      <c r="IGX129"/>
      <c r="IGY129"/>
      <c r="IGZ129"/>
      <c r="IHA129"/>
      <c r="IHB129"/>
      <c r="IHC129"/>
      <c r="IHD129"/>
      <c r="IHE129"/>
      <c r="IHF129"/>
      <c r="IHG129"/>
      <c r="IHH129"/>
      <c r="IHI129"/>
      <c r="IHJ129"/>
      <c r="IHK129"/>
      <c r="IHL129"/>
      <c r="IHM129"/>
      <c r="IHN129"/>
      <c r="IHO129"/>
      <c r="IHP129"/>
      <c r="IHQ129"/>
      <c r="IHR129"/>
      <c r="IHS129"/>
      <c r="IHT129"/>
      <c r="IHU129"/>
      <c r="IHV129"/>
      <c r="IHW129"/>
      <c r="IHX129"/>
      <c r="IHY129"/>
      <c r="IHZ129"/>
      <c r="IIA129"/>
      <c r="IIB129"/>
      <c r="IIC129"/>
      <c r="IID129"/>
      <c r="IIE129"/>
      <c r="IIF129"/>
      <c r="IIG129"/>
      <c r="IIH129"/>
      <c r="III129"/>
      <c r="IIJ129"/>
      <c r="IIK129"/>
      <c r="IIL129"/>
      <c r="IIM129"/>
      <c r="IIN129"/>
      <c r="IIO129"/>
      <c r="IIP129"/>
      <c r="IIQ129"/>
      <c r="IIR129"/>
      <c r="IIS129"/>
      <c r="IIT129"/>
      <c r="IIU129"/>
      <c r="IIV129"/>
      <c r="IIW129"/>
      <c r="IIX129"/>
      <c r="IIY129"/>
      <c r="IIZ129"/>
      <c r="IJA129"/>
      <c r="IJB129"/>
      <c r="IJC129"/>
      <c r="IJD129"/>
      <c r="IJE129"/>
      <c r="IJF129"/>
      <c r="IJG129"/>
      <c r="IJH129"/>
      <c r="IJI129"/>
      <c r="IJJ129"/>
      <c r="IJK129"/>
      <c r="IJL129"/>
      <c r="IJM129"/>
      <c r="IJN129"/>
      <c r="IJO129"/>
      <c r="IJP129"/>
      <c r="IJQ129"/>
      <c r="IJR129"/>
      <c r="IJS129"/>
      <c r="IJT129"/>
      <c r="IJU129"/>
      <c r="IJV129"/>
      <c r="IJW129"/>
      <c r="IJX129"/>
      <c r="IJY129"/>
      <c r="IJZ129"/>
      <c r="IKA129"/>
      <c r="IKB129"/>
      <c r="IKC129"/>
      <c r="IKD129"/>
      <c r="IKE129"/>
      <c r="IKF129"/>
      <c r="IKG129"/>
      <c r="IKH129"/>
      <c r="IKI129"/>
      <c r="IKJ129"/>
      <c r="IKK129"/>
      <c r="IKL129"/>
      <c r="IKM129"/>
      <c r="IKN129"/>
      <c r="IKO129"/>
      <c r="IKP129"/>
      <c r="IKQ129"/>
      <c r="IKR129"/>
      <c r="IKS129"/>
      <c r="IKT129"/>
      <c r="IKU129"/>
      <c r="IKV129"/>
      <c r="IKW129"/>
      <c r="IKX129"/>
      <c r="IKY129"/>
      <c r="IKZ129"/>
      <c r="ILA129"/>
      <c r="ILB129"/>
      <c r="ILC129"/>
      <c r="ILD129"/>
      <c r="ILE129"/>
      <c r="ILF129"/>
      <c r="ILG129"/>
      <c r="ILH129"/>
      <c r="ILI129"/>
      <c r="ILJ129"/>
      <c r="ILK129"/>
      <c r="ILL129"/>
      <c r="ILM129"/>
      <c r="ILN129"/>
      <c r="ILO129"/>
      <c r="ILP129"/>
      <c r="ILQ129"/>
      <c r="ILR129"/>
      <c r="ILS129"/>
      <c r="ILT129"/>
      <c r="ILU129"/>
      <c r="ILV129"/>
      <c r="ILW129"/>
      <c r="ILX129"/>
      <c r="ILY129"/>
      <c r="ILZ129"/>
      <c r="IMA129"/>
      <c r="IMB129"/>
      <c r="IMC129"/>
      <c r="IMD129"/>
      <c r="IME129"/>
      <c r="IMF129"/>
      <c r="IMG129"/>
      <c r="IMH129"/>
      <c r="IMI129"/>
      <c r="IMJ129"/>
      <c r="IMK129"/>
      <c r="IML129"/>
      <c r="IMM129"/>
      <c r="IMN129"/>
      <c r="IMO129"/>
      <c r="IMP129"/>
      <c r="IMQ129"/>
      <c r="IMR129"/>
      <c r="IMS129"/>
      <c r="IMT129"/>
      <c r="IMU129"/>
      <c r="IMV129"/>
      <c r="IMW129"/>
      <c r="IMX129"/>
      <c r="IMY129"/>
      <c r="IMZ129"/>
      <c r="INA129"/>
      <c r="INB129"/>
      <c r="INC129"/>
      <c r="IND129"/>
      <c r="INE129"/>
      <c r="INF129"/>
      <c r="ING129"/>
      <c r="INH129"/>
      <c r="INI129"/>
      <c r="INJ129"/>
      <c r="INK129"/>
      <c r="INL129"/>
      <c r="INM129"/>
      <c r="INN129"/>
      <c r="INO129"/>
      <c r="INP129"/>
      <c r="INQ129"/>
      <c r="INR129"/>
      <c r="INS129"/>
      <c r="INT129"/>
      <c r="INU129"/>
      <c r="INV129"/>
      <c r="INW129"/>
      <c r="INX129"/>
      <c r="INY129"/>
      <c r="INZ129"/>
      <c r="IOA129"/>
      <c r="IOB129"/>
      <c r="IOC129"/>
      <c r="IOD129"/>
      <c r="IOE129"/>
      <c r="IOF129"/>
      <c r="IOG129"/>
      <c r="IOH129"/>
      <c r="IOI129"/>
      <c r="IOJ129"/>
      <c r="IOK129"/>
      <c r="IOL129"/>
      <c r="IOM129"/>
      <c r="ION129"/>
      <c r="IOO129"/>
      <c r="IOP129"/>
      <c r="IOQ129"/>
      <c r="IOR129"/>
      <c r="IOS129"/>
      <c r="IOT129"/>
      <c r="IOU129"/>
      <c r="IOV129"/>
      <c r="IOW129"/>
      <c r="IOX129"/>
      <c r="IOY129"/>
      <c r="IOZ129"/>
      <c r="IPA129"/>
      <c r="IPB129"/>
      <c r="IPC129"/>
      <c r="IPD129"/>
      <c r="IPE129"/>
      <c r="IPF129"/>
      <c r="IPG129"/>
      <c r="IPH129"/>
      <c r="IPI129"/>
      <c r="IPJ129"/>
      <c r="IPK129"/>
      <c r="IPL129"/>
      <c r="IPM129"/>
      <c r="IPN129"/>
      <c r="IPO129"/>
      <c r="IPP129"/>
      <c r="IPQ129"/>
      <c r="IPR129"/>
      <c r="IPS129"/>
      <c r="IPT129"/>
      <c r="IPU129"/>
      <c r="IPV129"/>
      <c r="IPW129"/>
      <c r="IPX129"/>
      <c r="IPY129"/>
      <c r="IPZ129"/>
      <c r="IQA129"/>
      <c r="IQB129"/>
      <c r="IQC129"/>
      <c r="IQD129"/>
      <c r="IQE129"/>
      <c r="IQF129"/>
      <c r="IQG129"/>
      <c r="IQH129"/>
      <c r="IQI129"/>
      <c r="IQJ129"/>
      <c r="IQK129"/>
      <c r="IQL129"/>
      <c r="IQM129"/>
      <c r="IQN129"/>
      <c r="IQO129"/>
      <c r="IQP129"/>
      <c r="IQQ129"/>
      <c r="IQR129"/>
      <c r="IQS129"/>
      <c r="IQT129"/>
      <c r="IQU129"/>
      <c r="IQV129"/>
      <c r="IQW129"/>
      <c r="IQX129"/>
      <c r="IQY129"/>
      <c r="IQZ129"/>
      <c r="IRA129"/>
      <c r="IRB129"/>
      <c r="IRC129"/>
      <c r="IRD129"/>
      <c r="IRE129"/>
      <c r="IRF129"/>
      <c r="IRG129"/>
      <c r="IRH129"/>
      <c r="IRI129"/>
      <c r="IRJ129"/>
      <c r="IRK129"/>
      <c r="IRL129"/>
      <c r="IRM129"/>
      <c r="IRN129"/>
      <c r="IRO129"/>
      <c r="IRP129"/>
      <c r="IRQ129"/>
      <c r="IRR129"/>
      <c r="IRS129"/>
      <c r="IRT129"/>
      <c r="IRU129"/>
      <c r="IRV129"/>
      <c r="IRW129"/>
      <c r="IRX129"/>
      <c r="IRY129"/>
      <c r="IRZ129"/>
      <c r="ISA129"/>
      <c r="ISB129"/>
      <c r="ISC129"/>
      <c r="ISD129"/>
      <c r="ISE129"/>
      <c r="ISF129"/>
      <c r="ISG129"/>
      <c r="ISH129"/>
      <c r="ISI129"/>
      <c r="ISJ129"/>
      <c r="ISK129"/>
      <c r="ISL129"/>
      <c r="ISM129"/>
      <c r="ISN129"/>
      <c r="ISO129"/>
      <c r="ISP129"/>
      <c r="ISQ129"/>
      <c r="ISR129"/>
      <c r="ISS129"/>
      <c r="IST129"/>
      <c r="ISU129"/>
      <c r="ISV129"/>
      <c r="ISW129"/>
      <c r="ISX129"/>
      <c r="ISY129"/>
      <c r="ISZ129"/>
      <c r="ITA129"/>
      <c r="ITB129"/>
      <c r="ITC129"/>
      <c r="ITD129"/>
      <c r="ITE129"/>
      <c r="ITF129"/>
      <c r="ITG129"/>
      <c r="ITH129"/>
      <c r="ITI129"/>
      <c r="ITJ129"/>
      <c r="ITK129"/>
      <c r="ITL129"/>
      <c r="ITM129"/>
      <c r="ITN129"/>
      <c r="ITO129"/>
      <c r="ITP129"/>
      <c r="ITQ129"/>
      <c r="ITR129"/>
      <c r="ITS129"/>
      <c r="ITT129"/>
      <c r="ITU129"/>
      <c r="ITV129"/>
      <c r="ITW129"/>
      <c r="ITX129"/>
      <c r="ITY129"/>
      <c r="ITZ129"/>
      <c r="IUA129"/>
      <c r="IUB129"/>
      <c r="IUC129"/>
      <c r="IUD129"/>
      <c r="IUE129"/>
      <c r="IUF129"/>
      <c r="IUG129"/>
      <c r="IUH129"/>
      <c r="IUI129"/>
      <c r="IUJ129"/>
      <c r="IUK129"/>
      <c r="IUL129"/>
      <c r="IUM129"/>
      <c r="IUN129"/>
      <c r="IUO129"/>
      <c r="IUP129"/>
      <c r="IUQ129"/>
      <c r="IUR129"/>
      <c r="IUS129"/>
      <c r="IUT129"/>
      <c r="IUU129"/>
      <c r="IUV129"/>
      <c r="IUW129"/>
      <c r="IUX129"/>
      <c r="IUY129"/>
      <c r="IUZ129"/>
      <c r="IVA129"/>
      <c r="IVB129"/>
      <c r="IVC129"/>
      <c r="IVD129"/>
      <c r="IVE129"/>
      <c r="IVF129"/>
      <c r="IVG129"/>
      <c r="IVH129"/>
      <c r="IVI129"/>
      <c r="IVJ129"/>
      <c r="IVK129"/>
      <c r="IVL129"/>
      <c r="IVM129"/>
      <c r="IVN129"/>
      <c r="IVO129"/>
      <c r="IVP129"/>
      <c r="IVQ129"/>
      <c r="IVR129"/>
      <c r="IVS129"/>
      <c r="IVT129"/>
      <c r="IVU129"/>
      <c r="IVV129"/>
      <c r="IVW129"/>
      <c r="IVX129"/>
      <c r="IVY129"/>
      <c r="IVZ129"/>
      <c r="IWA129"/>
      <c r="IWB129"/>
      <c r="IWC129"/>
      <c r="IWD129"/>
      <c r="IWE129"/>
      <c r="IWF129"/>
      <c r="IWG129"/>
      <c r="IWH129"/>
      <c r="IWI129"/>
      <c r="IWJ129"/>
      <c r="IWK129"/>
      <c r="IWL129"/>
      <c r="IWM129"/>
      <c r="IWN129"/>
      <c r="IWO129"/>
      <c r="IWP129"/>
      <c r="IWQ129"/>
      <c r="IWR129"/>
      <c r="IWS129"/>
      <c r="IWT129"/>
      <c r="IWU129"/>
      <c r="IWV129"/>
      <c r="IWW129"/>
      <c r="IWX129"/>
      <c r="IWY129"/>
      <c r="IWZ129"/>
      <c r="IXA129"/>
      <c r="IXB129"/>
      <c r="IXC129"/>
      <c r="IXD129"/>
      <c r="IXE129"/>
      <c r="IXF129"/>
      <c r="IXG129"/>
      <c r="IXH129"/>
      <c r="IXI129"/>
      <c r="IXJ129"/>
      <c r="IXK129"/>
      <c r="IXL129"/>
      <c r="IXM129"/>
      <c r="IXN129"/>
      <c r="IXO129"/>
      <c r="IXP129"/>
      <c r="IXQ129"/>
      <c r="IXR129"/>
      <c r="IXS129"/>
      <c r="IXT129"/>
      <c r="IXU129"/>
      <c r="IXV129"/>
      <c r="IXW129"/>
      <c r="IXX129"/>
      <c r="IXY129"/>
      <c r="IXZ129"/>
      <c r="IYA129"/>
      <c r="IYB129"/>
      <c r="IYC129"/>
      <c r="IYD129"/>
      <c r="IYE129"/>
      <c r="IYF129"/>
      <c r="IYG129"/>
      <c r="IYH129"/>
      <c r="IYI129"/>
      <c r="IYJ129"/>
      <c r="IYK129"/>
      <c r="IYL129"/>
      <c r="IYM129"/>
      <c r="IYN129"/>
      <c r="IYO129"/>
      <c r="IYP129"/>
      <c r="IYQ129"/>
      <c r="IYR129"/>
      <c r="IYS129"/>
      <c r="IYT129"/>
      <c r="IYU129"/>
      <c r="IYV129"/>
      <c r="IYW129"/>
      <c r="IYX129"/>
      <c r="IYY129"/>
      <c r="IYZ129"/>
      <c r="IZA129"/>
      <c r="IZB129"/>
      <c r="IZC129"/>
      <c r="IZD129"/>
      <c r="IZE129"/>
      <c r="IZF129"/>
      <c r="IZG129"/>
      <c r="IZH129"/>
      <c r="IZI129"/>
      <c r="IZJ129"/>
      <c r="IZK129"/>
      <c r="IZL129"/>
      <c r="IZM129"/>
      <c r="IZN129"/>
      <c r="IZO129"/>
      <c r="IZP129"/>
      <c r="IZQ129"/>
      <c r="IZR129"/>
      <c r="IZS129"/>
      <c r="IZT129"/>
      <c r="IZU129"/>
      <c r="IZV129"/>
      <c r="IZW129"/>
      <c r="IZX129"/>
      <c r="IZY129"/>
      <c r="IZZ129"/>
      <c r="JAA129"/>
      <c r="JAB129"/>
      <c r="JAC129"/>
      <c r="JAD129"/>
      <c r="JAE129"/>
      <c r="JAF129"/>
      <c r="JAG129"/>
      <c r="JAH129"/>
      <c r="JAI129"/>
      <c r="JAJ129"/>
      <c r="JAK129"/>
      <c r="JAL129"/>
      <c r="JAM129"/>
      <c r="JAN129"/>
      <c r="JAO129"/>
      <c r="JAP129"/>
      <c r="JAQ129"/>
      <c r="JAR129"/>
      <c r="JAS129"/>
      <c r="JAT129"/>
      <c r="JAU129"/>
      <c r="JAV129"/>
      <c r="JAW129"/>
      <c r="JAX129"/>
      <c r="JAY129"/>
      <c r="JAZ129"/>
      <c r="JBA129"/>
      <c r="JBB129"/>
      <c r="JBC129"/>
      <c r="JBD129"/>
      <c r="JBE129"/>
      <c r="JBF129"/>
      <c r="JBG129"/>
      <c r="JBH129"/>
      <c r="JBI129"/>
      <c r="JBJ129"/>
      <c r="JBK129"/>
      <c r="JBL129"/>
      <c r="JBM129"/>
      <c r="JBN129"/>
      <c r="JBO129"/>
      <c r="JBP129"/>
      <c r="JBQ129"/>
      <c r="JBR129"/>
      <c r="JBS129"/>
      <c r="JBT129"/>
      <c r="JBU129"/>
      <c r="JBV129"/>
      <c r="JBW129"/>
      <c r="JBX129"/>
      <c r="JBY129"/>
      <c r="JBZ129"/>
      <c r="JCA129"/>
      <c r="JCB129"/>
      <c r="JCC129"/>
      <c r="JCD129"/>
      <c r="JCE129"/>
      <c r="JCF129"/>
      <c r="JCG129"/>
      <c r="JCH129"/>
      <c r="JCI129"/>
      <c r="JCJ129"/>
      <c r="JCK129"/>
      <c r="JCL129"/>
      <c r="JCM129"/>
      <c r="JCN129"/>
      <c r="JCO129"/>
      <c r="JCP129"/>
      <c r="JCQ129"/>
      <c r="JCR129"/>
      <c r="JCS129"/>
      <c r="JCT129"/>
      <c r="JCU129"/>
      <c r="JCV129"/>
      <c r="JCW129"/>
      <c r="JCX129"/>
      <c r="JCY129"/>
      <c r="JCZ129"/>
      <c r="JDA129"/>
      <c r="JDB129"/>
      <c r="JDC129"/>
      <c r="JDD129"/>
      <c r="JDE129"/>
      <c r="JDF129"/>
      <c r="JDG129"/>
      <c r="JDH129"/>
      <c r="JDI129"/>
      <c r="JDJ129"/>
      <c r="JDK129"/>
      <c r="JDL129"/>
      <c r="JDM129"/>
      <c r="JDN129"/>
      <c r="JDO129"/>
      <c r="JDP129"/>
      <c r="JDQ129"/>
      <c r="JDR129"/>
      <c r="JDS129"/>
      <c r="JDT129"/>
      <c r="JDU129"/>
      <c r="JDV129"/>
      <c r="JDW129"/>
      <c r="JDX129"/>
      <c r="JDY129"/>
      <c r="JDZ129"/>
      <c r="JEA129"/>
      <c r="JEB129"/>
      <c r="JEC129"/>
      <c r="JED129"/>
      <c r="JEE129"/>
      <c r="JEF129"/>
      <c r="JEG129"/>
      <c r="JEH129"/>
      <c r="JEI129"/>
      <c r="JEJ129"/>
      <c r="JEK129"/>
      <c r="JEL129"/>
      <c r="JEM129"/>
      <c r="JEN129"/>
      <c r="JEO129"/>
      <c r="JEP129"/>
      <c r="JEQ129"/>
      <c r="JER129"/>
      <c r="JES129"/>
      <c r="JET129"/>
      <c r="JEU129"/>
      <c r="JEV129"/>
      <c r="JEW129"/>
      <c r="JEX129"/>
      <c r="JEY129"/>
      <c r="JEZ129"/>
      <c r="JFA129"/>
      <c r="JFB129"/>
      <c r="JFC129"/>
      <c r="JFD129"/>
      <c r="JFE129"/>
      <c r="JFF129"/>
      <c r="JFG129"/>
      <c r="JFH129"/>
      <c r="JFI129"/>
      <c r="JFJ129"/>
      <c r="JFK129"/>
      <c r="JFL129"/>
      <c r="JFM129"/>
      <c r="JFN129"/>
      <c r="JFO129"/>
      <c r="JFP129"/>
      <c r="JFQ129"/>
      <c r="JFR129"/>
      <c r="JFS129"/>
      <c r="JFT129"/>
      <c r="JFU129"/>
      <c r="JFV129"/>
      <c r="JFW129"/>
      <c r="JFX129"/>
      <c r="JFY129"/>
      <c r="JFZ129"/>
      <c r="JGA129"/>
      <c r="JGB129"/>
      <c r="JGC129"/>
      <c r="JGD129"/>
      <c r="JGE129"/>
      <c r="JGF129"/>
      <c r="JGG129"/>
      <c r="JGH129"/>
      <c r="JGI129"/>
      <c r="JGJ129"/>
      <c r="JGK129"/>
      <c r="JGL129"/>
      <c r="JGM129"/>
      <c r="JGN129"/>
      <c r="JGO129"/>
      <c r="JGP129"/>
      <c r="JGQ129"/>
      <c r="JGR129"/>
      <c r="JGS129"/>
      <c r="JGT129"/>
      <c r="JGU129"/>
      <c r="JGV129"/>
      <c r="JGW129"/>
      <c r="JGX129"/>
      <c r="JGY129"/>
      <c r="JGZ129"/>
      <c r="JHA129"/>
      <c r="JHB129"/>
      <c r="JHC129"/>
      <c r="JHD129"/>
      <c r="JHE129"/>
      <c r="JHF129"/>
      <c r="JHG129"/>
      <c r="JHH129"/>
      <c r="JHI129"/>
      <c r="JHJ129"/>
      <c r="JHK129"/>
      <c r="JHL129"/>
      <c r="JHM129"/>
      <c r="JHN129"/>
      <c r="JHO129"/>
      <c r="JHP129"/>
      <c r="JHQ129"/>
      <c r="JHR129"/>
      <c r="JHS129"/>
      <c r="JHT129"/>
      <c r="JHU129"/>
      <c r="JHV129"/>
      <c r="JHW129"/>
      <c r="JHX129"/>
      <c r="JHY129"/>
      <c r="JHZ129"/>
      <c r="JIA129"/>
      <c r="JIB129"/>
      <c r="JIC129"/>
      <c r="JID129"/>
      <c r="JIE129"/>
      <c r="JIF129"/>
      <c r="JIG129"/>
      <c r="JIH129"/>
      <c r="JII129"/>
      <c r="JIJ129"/>
      <c r="JIK129"/>
      <c r="JIL129"/>
      <c r="JIM129"/>
      <c r="JIN129"/>
      <c r="JIO129"/>
      <c r="JIP129"/>
      <c r="JIQ129"/>
      <c r="JIR129"/>
      <c r="JIS129"/>
      <c r="JIT129"/>
      <c r="JIU129"/>
      <c r="JIV129"/>
      <c r="JIW129"/>
      <c r="JIX129"/>
      <c r="JIY129"/>
      <c r="JIZ129"/>
      <c r="JJA129"/>
      <c r="JJB129"/>
      <c r="JJC129"/>
      <c r="JJD129"/>
      <c r="JJE129"/>
      <c r="JJF129"/>
      <c r="JJG129"/>
      <c r="JJH129"/>
      <c r="JJI129"/>
      <c r="JJJ129"/>
      <c r="JJK129"/>
      <c r="JJL129"/>
      <c r="JJM129"/>
      <c r="JJN129"/>
      <c r="JJO129"/>
      <c r="JJP129"/>
      <c r="JJQ129"/>
      <c r="JJR129"/>
      <c r="JJS129"/>
      <c r="JJT129"/>
      <c r="JJU129"/>
      <c r="JJV129"/>
      <c r="JJW129"/>
      <c r="JJX129"/>
      <c r="JJY129"/>
      <c r="JJZ129"/>
      <c r="JKA129"/>
      <c r="JKB129"/>
      <c r="JKC129"/>
      <c r="JKD129"/>
      <c r="JKE129"/>
      <c r="JKF129"/>
      <c r="JKG129"/>
      <c r="JKH129"/>
      <c r="JKI129"/>
      <c r="JKJ129"/>
      <c r="JKK129"/>
      <c r="JKL129"/>
      <c r="JKM129"/>
      <c r="JKN129"/>
      <c r="JKO129"/>
      <c r="JKP129"/>
      <c r="JKQ129"/>
      <c r="JKR129"/>
      <c r="JKS129"/>
      <c r="JKT129"/>
      <c r="JKU129"/>
      <c r="JKV129"/>
      <c r="JKW129"/>
      <c r="JKX129"/>
      <c r="JKY129"/>
      <c r="JKZ129"/>
      <c r="JLA129"/>
      <c r="JLB129"/>
      <c r="JLC129"/>
      <c r="JLD129"/>
      <c r="JLE129"/>
      <c r="JLF129"/>
      <c r="JLG129"/>
      <c r="JLH129"/>
      <c r="JLI129"/>
      <c r="JLJ129"/>
      <c r="JLK129"/>
      <c r="JLL129"/>
      <c r="JLM129"/>
      <c r="JLN129"/>
      <c r="JLO129"/>
      <c r="JLP129"/>
      <c r="JLQ129"/>
      <c r="JLR129"/>
      <c r="JLS129"/>
      <c r="JLT129"/>
      <c r="JLU129"/>
      <c r="JLV129"/>
      <c r="JLW129"/>
      <c r="JLX129"/>
      <c r="JLY129"/>
      <c r="JLZ129"/>
      <c r="JMA129"/>
      <c r="JMB129"/>
      <c r="JMC129"/>
      <c r="JMD129"/>
      <c r="JME129"/>
      <c r="JMF129"/>
      <c r="JMG129"/>
      <c r="JMH129"/>
      <c r="JMI129"/>
      <c r="JMJ129"/>
      <c r="JMK129"/>
      <c r="JML129"/>
      <c r="JMM129"/>
      <c r="JMN129"/>
      <c r="JMO129"/>
      <c r="JMP129"/>
      <c r="JMQ129"/>
      <c r="JMR129"/>
      <c r="JMS129"/>
      <c r="JMT129"/>
      <c r="JMU129"/>
      <c r="JMV129"/>
      <c r="JMW129"/>
      <c r="JMX129"/>
      <c r="JMY129"/>
      <c r="JMZ129"/>
      <c r="JNA129"/>
      <c r="JNB129"/>
      <c r="JNC129"/>
      <c r="JND129"/>
      <c r="JNE129"/>
      <c r="JNF129"/>
      <c r="JNG129"/>
      <c r="JNH129"/>
      <c r="JNI129"/>
      <c r="JNJ129"/>
      <c r="JNK129"/>
      <c r="JNL129"/>
      <c r="JNM129"/>
      <c r="JNN129"/>
      <c r="JNO129"/>
      <c r="JNP129"/>
      <c r="JNQ129"/>
      <c r="JNR129"/>
      <c r="JNS129"/>
      <c r="JNT129"/>
      <c r="JNU129"/>
      <c r="JNV129"/>
      <c r="JNW129"/>
      <c r="JNX129"/>
      <c r="JNY129"/>
      <c r="JNZ129"/>
      <c r="JOA129"/>
      <c r="JOB129"/>
      <c r="JOC129"/>
      <c r="JOD129"/>
      <c r="JOE129"/>
      <c r="JOF129"/>
      <c r="JOG129"/>
      <c r="JOH129"/>
      <c r="JOI129"/>
      <c r="JOJ129"/>
      <c r="JOK129"/>
      <c r="JOL129"/>
      <c r="JOM129"/>
      <c r="JON129"/>
      <c r="JOO129"/>
      <c r="JOP129"/>
      <c r="JOQ129"/>
      <c r="JOR129"/>
      <c r="JOS129"/>
      <c r="JOT129"/>
      <c r="JOU129"/>
      <c r="JOV129"/>
      <c r="JOW129"/>
      <c r="JOX129"/>
      <c r="JOY129"/>
      <c r="JOZ129"/>
      <c r="JPA129"/>
      <c r="JPB129"/>
      <c r="JPC129"/>
      <c r="JPD129"/>
      <c r="JPE129"/>
      <c r="JPF129"/>
      <c r="JPG129"/>
      <c r="JPH129"/>
      <c r="JPI129"/>
      <c r="JPJ129"/>
      <c r="JPK129"/>
      <c r="JPL129"/>
      <c r="JPM129"/>
      <c r="JPN129"/>
      <c r="JPO129"/>
      <c r="JPP129"/>
      <c r="JPQ129"/>
      <c r="JPR129"/>
      <c r="JPS129"/>
      <c r="JPT129"/>
      <c r="JPU129"/>
      <c r="JPV129"/>
      <c r="JPW129"/>
      <c r="JPX129"/>
      <c r="JPY129"/>
      <c r="JPZ129"/>
      <c r="JQA129"/>
      <c r="JQB129"/>
      <c r="JQC129"/>
      <c r="JQD129"/>
      <c r="JQE129"/>
      <c r="JQF129"/>
      <c r="JQG129"/>
      <c r="JQH129"/>
      <c r="JQI129"/>
      <c r="JQJ129"/>
      <c r="JQK129"/>
      <c r="JQL129"/>
      <c r="JQM129"/>
      <c r="JQN129"/>
      <c r="JQO129"/>
      <c r="JQP129"/>
      <c r="JQQ129"/>
      <c r="JQR129"/>
      <c r="JQS129"/>
      <c r="JQT129"/>
      <c r="JQU129"/>
      <c r="JQV129"/>
      <c r="JQW129"/>
      <c r="JQX129"/>
      <c r="JQY129"/>
      <c r="JQZ129"/>
      <c r="JRA129"/>
      <c r="JRB129"/>
      <c r="JRC129"/>
      <c r="JRD129"/>
      <c r="JRE129"/>
      <c r="JRF129"/>
      <c r="JRG129"/>
      <c r="JRH129"/>
      <c r="JRI129"/>
      <c r="JRJ129"/>
      <c r="JRK129"/>
      <c r="JRL129"/>
      <c r="JRM129"/>
      <c r="JRN129"/>
      <c r="JRO129"/>
      <c r="JRP129"/>
      <c r="JRQ129"/>
      <c r="JRR129"/>
      <c r="JRS129"/>
      <c r="JRT129"/>
      <c r="JRU129"/>
      <c r="JRV129"/>
      <c r="JRW129"/>
      <c r="JRX129"/>
      <c r="JRY129"/>
      <c r="JRZ129"/>
      <c r="JSA129"/>
      <c r="JSB129"/>
      <c r="JSC129"/>
      <c r="JSD129"/>
      <c r="JSE129"/>
      <c r="JSF129"/>
      <c r="JSG129"/>
      <c r="JSH129"/>
      <c r="JSI129"/>
      <c r="JSJ129"/>
      <c r="JSK129"/>
      <c r="JSL129"/>
      <c r="JSM129"/>
      <c r="JSN129"/>
      <c r="JSO129"/>
      <c r="JSP129"/>
      <c r="JSQ129"/>
      <c r="JSR129"/>
      <c r="JSS129"/>
      <c r="JST129"/>
      <c r="JSU129"/>
      <c r="JSV129"/>
      <c r="JSW129"/>
      <c r="JSX129"/>
      <c r="JSY129"/>
      <c r="JSZ129"/>
      <c r="JTA129"/>
      <c r="JTB129"/>
      <c r="JTC129"/>
      <c r="JTD129"/>
      <c r="JTE129"/>
      <c r="JTF129"/>
      <c r="JTG129"/>
      <c r="JTH129"/>
      <c r="JTI129"/>
      <c r="JTJ129"/>
      <c r="JTK129"/>
      <c r="JTL129"/>
      <c r="JTM129"/>
      <c r="JTN129"/>
      <c r="JTO129"/>
      <c r="JTP129"/>
      <c r="JTQ129"/>
      <c r="JTR129"/>
      <c r="JTS129"/>
      <c r="JTT129"/>
      <c r="JTU129"/>
      <c r="JTV129"/>
      <c r="JTW129"/>
      <c r="JTX129"/>
      <c r="JTY129"/>
      <c r="JTZ129"/>
      <c r="JUA129"/>
      <c r="JUB129"/>
      <c r="JUC129"/>
      <c r="JUD129"/>
      <c r="JUE129"/>
      <c r="JUF129"/>
      <c r="JUG129"/>
      <c r="JUH129"/>
      <c r="JUI129"/>
      <c r="JUJ129"/>
      <c r="JUK129"/>
      <c r="JUL129"/>
      <c r="JUM129"/>
      <c r="JUN129"/>
      <c r="JUO129"/>
      <c r="JUP129"/>
      <c r="JUQ129"/>
      <c r="JUR129"/>
      <c r="JUS129"/>
      <c r="JUT129"/>
      <c r="JUU129"/>
      <c r="JUV129"/>
      <c r="JUW129"/>
      <c r="JUX129"/>
      <c r="JUY129"/>
      <c r="JUZ129"/>
      <c r="JVA129"/>
      <c r="JVB129"/>
      <c r="JVC129"/>
      <c r="JVD129"/>
      <c r="JVE129"/>
      <c r="JVF129"/>
      <c r="JVG129"/>
      <c r="JVH129"/>
      <c r="JVI129"/>
      <c r="JVJ129"/>
      <c r="JVK129"/>
      <c r="JVL129"/>
      <c r="JVM129"/>
      <c r="JVN129"/>
      <c r="JVO129"/>
      <c r="JVP129"/>
      <c r="JVQ129"/>
      <c r="JVR129"/>
      <c r="JVS129"/>
      <c r="JVT129"/>
      <c r="JVU129"/>
      <c r="JVV129"/>
      <c r="JVW129"/>
      <c r="JVX129"/>
      <c r="JVY129"/>
      <c r="JVZ129"/>
      <c r="JWA129"/>
      <c r="JWB129"/>
      <c r="JWC129"/>
      <c r="JWD129"/>
      <c r="JWE129"/>
      <c r="JWF129"/>
      <c r="JWG129"/>
      <c r="JWH129"/>
      <c r="JWI129"/>
      <c r="JWJ129"/>
      <c r="JWK129"/>
      <c r="JWL129"/>
      <c r="JWM129"/>
      <c r="JWN129"/>
      <c r="JWO129"/>
      <c r="JWP129"/>
      <c r="JWQ129"/>
      <c r="JWR129"/>
      <c r="JWS129"/>
      <c r="JWT129"/>
      <c r="JWU129"/>
      <c r="JWV129"/>
      <c r="JWW129"/>
      <c r="JWX129"/>
      <c r="JWY129"/>
      <c r="JWZ129"/>
      <c r="JXA129"/>
      <c r="JXB129"/>
      <c r="JXC129"/>
      <c r="JXD129"/>
      <c r="JXE129"/>
      <c r="JXF129"/>
      <c r="JXG129"/>
      <c r="JXH129"/>
      <c r="JXI129"/>
      <c r="JXJ129"/>
      <c r="JXK129"/>
      <c r="JXL129"/>
      <c r="JXM129"/>
      <c r="JXN129"/>
      <c r="JXO129"/>
      <c r="JXP129"/>
      <c r="JXQ129"/>
      <c r="JXR129"/>
      <c r="JXS129"/>
      <c r="JXT129"/>
      <c r="JXU129"/>
      <c r="JXV129"/>
      <c r="JXW129"/>
      <c r="JXX129"/>
      <c r="JXY129"/>
      <c r="JXZ129"/>
      <c r="JYA129"/>
      <c r="JYB129"/>
      <c r="JYC129"/>
      <c r="JYD129"/>
      <c r="JYE129"/>
      <c r="JYF129"/>
      <c r="JYG129"/>
      <c r="JYH129"/>
      <c r="JYI129"/>
      <c r="JYJ129"/>
      <c r="JYK129"/>
      <c r="JYL129"/>
      <c r="JYM129"/>
      <c r="JYN129"/>
      <c r="JYO129"/>
      <c r="JYP129"/>
      <c r="JYQ129"/>
      <c r="JYR129"/>
      <c r="JYS129"/>
      <c r="JYT129"/>
      <c r="JYU129"/>
      <c r="JYV129"/>
      <c r="JYW129"/>
      <c r="JYX129"/>
      <c r="JYY129"/>
      <c r="JYZ129"/>
      <c r="JZA129"/>
      <c r="JZB129"/>
      <c r="JZC129"/>
      <c r="JZD129"/>
      <c r="JZE129"/>
      <c r="JZF129"/>
      <c r="JZG129"/>
      <c r="JZH129"/>
      <c r="JZI129"/>
      <c r="JZJ129"/>
      <c r="JZK129"/>
      <c r="JZL129"/>
      <c r="JZM129"/>
      <c r="JZN129"/>
      <c r="JZO129"/>
      <c r="JZP129"/>
      <c r="JZQ129"/>
      <c r="JZR129"/>
      <c r="JZS129"/>
      <c r="JZT129"/>
      <c r="JZU129"/>
      <c r="JZV129"/>
      <c r="JZW129"/>
      <c r="JZX129"/>
      <c r="JZY129"/>
      <c r="JZZ129"/>
      <c r="KAA129"/>
      <c r="KAB129"/>
      <c r="KAC129"/>
      <c r="KAD129"/>
      <c r="KAE129"/>
      <c r="KAF129"/>
      <c r="KAG129"/>
      <c r="KAH129"/>
      <c r="KAI129"/>
      <c r="KAJ129"/>
      <c r="KAK129"/>
      <c r="KAL129"/>
      <c r="KAM129"/>
      <c r="KAN129"/>
      <c r="KAO129"/>
      <c r="KAP129"/>
      <c r="KAQ129"/>
      <c r="KAR129"/>
      <c r="KAS129"/>
      <c r="KAT129"/>
      <c r="KAU129"/>
      <c r="KAV129"/>
      <c r="KAW129"/>
      <c r="KAX129"/>
      <c r="KAY129"/>
      <c r="KAZ129"/>
      <c r="KBA129"/>
      <c r="KBB129"/>
      <c r="KBC129"/>
      <c r="KBD129"/>
      <c r="KBE129"/>
      <c r="KBF129"/>
      <c r="KBG129"/>
      <c r="KBH129"/>
      <c r="KBI129"/>
      <c r="KBJ129"/>
      <c r="KBK129"/>
      <c r="KBL129"/>
      <c r="KBM129"/>
      <c r="KBN129"/>
      <c r="KBO129"/>
      <c r="KBP129"/>
      <c r="KBQ129"/>
      <c r="KBR129"/>
      <c r="KBS129"/>
      <c r="KBT129"/>
      <c r="KBU129"/>
      <c r="KBV129"/>
      <c r="KBW129"/>
      <c r="KBX129"/>
      <c r="KBY129"/>
      <c r="KBZ129"/>
      <c r="KCA129"/>
      <c r="KCB129"/>
      <c r="KCC129"/>
      <c r="KCD129"/>
      <c r="KCE129"/>
      <c r="KCF129"/>
      <c r="KCG129"/>
      <c r="KCH129"/>
      <c r="KCI129"/>
      <c r="KCJ129"/>
      <c r="KCK129"/>
      <c r="KCL129"/>
      <c r="KCM129"/>
      <c r="KCN129"/>
      <c r="KCO129"/>
      <c r="KCP129"/>
      <c r="KCQ129"/>
      <c r="KCR129"/>
      <c r="KCS129"/>
      <c r="KCT129"/>
      <c r="KCU129"/>
      <c r="KCV129"/>
      <c r="KCW129"/>
      <c r="KCX129"/>
      <c r="KCY129"/>
      <c r="KCZ129"/>
      <c r="KDA129"/>
      <c r="KDB129"/>
      <c r="KDC129"/>
      <c r="KDD129"/>
      <c r="KDE129"/>
      <c r="KDF129"/>
      <c r="KDG129"/>
      <c r="KDH129"/>
      <c r="KDI129"/>
      <c r="KDJ129"/>
      <c r="KDK129"/>
      <c r="KDL129"/>
      <c r="KDM129"/>
      <c r="KDN129"/>
      <c r="KDO129"/>
      <c r="KDP129"/>
      <c r="KDQ129"/>
      <c r="KDR129"/>
      <c r="KDS129"/>
      <c r="KDT129"/>
      <c r="KDU129"/>
      <c r="KDV129"/>
      <c r="KDW129"/>
      <c r="KDX129"/>
      <c r="KDY129"/>
      <c r="KDZ129"/>
      <c r="KEA129"/>
      <c r="KEB129"/>
      <c r="KEC129"/>
      <c r="KED129"/>
      <c r="KEE129"/>
      <c r="KEF129"/>
      <c r="KEG129"/>
      <c r="KEH129"/>
      <c r="KEI129"/>
      <c r="KEJ129"/>
      <c r="KEK129"/>
      <c r="KEL129"/>
      <c r="KEM129"/>
      <c r="KEN129"/>
      <c r="KEO129"/>
      <c r="KEP129"/>
      <c r="KEQ129"/>
      <c r="KER129"/>
      <c r="KES129"/>
      <c r="KET129"/>
      <c r="KEU129"/>
      <c r="KEV129"/>
      <c r="KEW129"/>
      <c r="KEX129"/>
      <c r="KEY129"/>
      <c r="KEZ129"/>
      <c r="KFA129"/>
      <c r="KFB129"/>
      <c r="KFC129"/>
      <c r="KFD129"/>
      <c r="KFE129"/>
      <c r="KFF129"/>
      <c r="KFG129"/>
      <c r="KFH129"/>
      <c r="KFI129"/>
      <c r="KFJ129"/>
      <c r="KFK129"/>
      <c r="KFL129"/>
      <c r="KFM129"/>
      <c r="KFN129"/>
      <c r="KFO129"/>
      <c r="KFP129"/>
      <c r="KFQ129"/>
      <c r="KFR129"/>
      <c r="KFS129"/>
      <c r="KFT129"/>
      <c r="KFU129"/>
      <c r="KFV129"/>
      <c r="KFW129"/>
      <c r="KFX129"/>
      <c r="KFY129"/>
      <c r="KFZ129"/>
      <c r="KGA129"/>
      <c r="KGB129"/>
      <c r="KGC129"/>
      <c r="KGD129"/>
      <c r="KGE129"/>
      <c r="KGF129"/>
      <c r="KGG129"/>
      <c r="KGH129"/>
      <c r="KGI129"/>
      <c r="KGJ129"/>
      <c r="KGK129"/>
      <c r="KGL129"/>
      <c r="KGM129"/>
      <c r="KGN129"/>
      <c r="KGO129"/>
      <c r="KGP129"/>
      <c r="KGQ129"/>
      <c r="KGR129"/>
      <c r="KGS129"/>
      <c r="KGT129"/>
      <c r="KGU129"/>
      <c r="KGV129"/>
      <c r="KGW129"/>
      <c r="KGX129"/>
      <c r="KGY129"/>
      <c r="KGZ129"/>
      <c r="KHA129"/>
      <c r="KHB129"/>
      <c r="KHC129"/>
      <c r="KHD129"/>
      <c r="KHE129"/>
      <c r="KHF129"/>
      <c r="KHG129"/>
      <c r="KHH129"/>
      <c r="KHI129"/>
      <c r="KHJ129"/>
      <c r="KHK129"/>
      <c r="KHL129"/>
      <c r="KHM129"/>
      <c r="KHN129"/>
      <c r="KHO129"/>
      <c r="KHP129"/>
      <c r="KHQ129"/>
      <c r="KHR129"/>
      <c r="KHS129"/>
      <c r="KHT129"/>
      <c r="KHU129"/>
      <c r="KHV129"/>
      <c r="KHW129"/>
      <c r="KHX129"/>
      <c r="KHY129"/>
      <c r="KHZ129"/>
      <c r="KIA129"/>
      <c r="KIB129"/>
      <c r="KIC129"/>
      <c r="KID129"/>
      <c r="KIE129"/>
      <c r="KIF129"/>
      <c r="KIG129"/>
      <c r="KIH129"/>
      <c r="KII129"/>
      <c r="KIJ129"/>
      <c r="KIK129"/>
      <c r="KIL129"/>
      <c r="KIM129"/>
      <c r="KIN129"/>
      <c r="KIO129"/>
      <c r="KIP129"/>
      <c r="KIQ129"/>
      <c r="KIR129"/>
      <c r="KIS129"/>
      <c r="KIT129"/>
      <c r="KIU129"/>
      <c r="KIV129"/>
      <c r="KIW129"/>
      <c r="KIX129"/>
      <c r="KIY129"/>
      <c r="KIZ129"/>
      <c r="KJA129"/>
      <c r="KJB129"/>
      <c r="KJC129"/>
      <c r="KJD129"/>
      <c r="KJE129"/>
      <c r="KJF129"/>
      <c r="KJG129"/>
      <c r="KJH129"/>
      <c r="KJI129"/>
      <c r="KJJ129"/>
      <c r="KJK129"/>
      <c r="KJL129"/>
      <c r="KJM129"/>
      <c r="KJN129"/>
      <c r="KJO129"/>
      <c r="KJP129"/>
      <c r="KJQ129"/>
      <c r="KJR129"/>
      <c r="KJS129"/>
      <c r="KJT129"/>
      <c r="KJU129"/>
      <c r="KJV129"/>
      <c r="KJW129"/>
      <c r="KJX129"/>
      <c r="KJY129"/>
      <c r="KJZ129"/>
      <c r="KKA129"/>
      <c r="KKB129"/>
      <c r="KKC129"/>
      <c r="KKD129"/>
      <c r="KKE129"/>
      <c r="KKF129"/>
      <c r="KKG129"/>
      <c r="KKH129"/>
      <c r="KKI129"/>
      <c r="KKJ129"/>
      <c r="KKK129"/>
      <c r="KKL129"/>
      <c r="KKM129"/>
      <c r="KKN129"/>
      <c r="KKO129"/>
      <c r="KKP129"/>
      <c r="KKQ129"/>
      <c r="KKR129"/>
      <c r="KKS129"/>
      <c r="KKT129"/>
      <c r="KKU129"/>
      <c r="KKV129"/>
      <c r="KKW129"/>
      <c r="KKX129"/>
      <c r="KKY129"/>
      <c r="KKZ129"/>
      <c r="KLA129"/>
      <c r="KLB129"/>
      <c r="KLC129"/>
      <c r="KLD129"/>
      <c r="KLE129"/>
      <c r="KLF129"/>
      <c r="KLG129"/>
      <c r="KLH129"/>
      <c r="KLI129"/>
      <c r="KLJ129"/>
      <c r="KLK129"/>
      <c r="KLL129"/>
      <c r="KLM129"/>
      <c r="KLN129"/>
      <c r="KLO129"/>
      <c r="KLP129"/>
      <c r="KLQ129"/>
      <c r="KLR129"/>
      <c r="KLS129"/>
      <c r="KLT129"/>
      <c r="KLU129"/>
      <c r="KLV129"/>
      <c r="KLW129"/>
      <c r="KLX129"/>
      <c r="KLY129"/>
      <c r="KLZ129"/>
      <c r="KMA129"/>
      <c r="KMB129"/>
      <c r="KMC129"/>
      <c r="KMD129"/>
      <c r="KME129"/>
      <c r="KMF129"/>
      <c r="KMG129"/>
      <c r="KMH129"/>
      <c r="KMI129"/>
      <c r="KMJ129"/>
      <c r="KMK129"/>
      <c r="KML129"/>
      <c r="KMM129"/>
      <c r="KMN129"/>
      <c r="KMO129"/>
      <c r="KMP129"/>
      <c r="KMQ129"/>
      <c r="KMR129"/>
      <c r="KMS129"/>
      <c r="KMT129"/>
      <c r="KMU129"/>
      <c r="KMV129"/>
      <c r="KMW129"/>
      <c r="KMX129"/>
      <c r="KMY129"/>
      <c r="KMZ129"/>
      <c r="KNA129"/>
      <c r="KNB129"/>
      <c r="KNC129"/>
      <c r="KND129"/>
      <c r="KNE129"/>
      <c r="KNF129"/>
      <c r="KNG129"/>
      <c r="KNH129"/>
      <c r="KNI129"/>
      <c r="KNJ129"/>
      <c r="KNK129"/>
      <c r="KNL129"/>
      <c r="KNM129"/>
      <c r="KNN129"/>
      <c r="KNO129"/>
      <c r="KNP129"/>
      <c r="KNQ129"/>
      <c r="KNR129"/>
      <c r="KNS129"/>
      <c r="KNT129"/>
      <c r="KNU129"/>
      <c r="KNV129"/>
      <c r="KNW129"/>
      <c r="KNX129"/>
      <c r="KNY129"/>
      <c r="KNZ129"/>
      <c r="KOA129"/>
      <c r="KOB129"/>
      <c r="KOC129"/>
      <c r="KOD129"/>
      <c r="KOE129"/>
      <c r="KOF129"/>
      <c r="KOG129"/>
      <c r="KOH129"/>
      <c r="KOI129"/>
      <c r="KOJ129"/>
      <c r="KOK129"/>
      <c r="KOL129"/>
      <c r="KOM129"/>
      <c r="KON129"/>
      <c r="KOO129"/>
      <c r="KOP129"/>
      <c r="KOQ129"/>
      <c r="KOR129"/>
      <c r="KOS129"/>
      <c r="KOT129"/>
      <c r="KOU129"/>
      <c r="KOV129"/>
      <c r="KOW129"/>
      <c r="KOX129"/>
      <c r="KOY129"/>
      <c r="KOZ129"/>
      <c r="KPA129"/>
      <c r="KPB129"/>
      <c r="KPC129"/>
      <c r="KPD129"/>
      <c r="KPE129"/>
      <c r="KPF129"/>
      <c r="KPG129"/>
      <c r="KPH129"/>
      <c r="KPI129"/>
      <c r="KPJ129"/>
      <c r="KPK129"/>
      <c r="KPL129"/>
      <c r="KPM129"/>
      <c r="KPN129"/>
      <c r="KPO129"/>
      <c r="KPP129"/>
      <c r="KPQ129"/>
      <c r="KPR129"/>
      <c r="KPS129"/>
      <c r="KPT129"/>
      <c r="KPU129"/>
      <c r="KPV129"/>
      <c r="KPW129"/>
      <c r="KPX129"/>
      <c r="KPY129"/>
      <c r="KPZ129"/>
      <c r="KQA129"/>
      <c r="KQB129"/>
      <c r="KQC129"/>
      <c r="KQD129"/>
      <c r="KQE129"/>
      <c r="KQF129"/>
      <c r="KQG129"/>
      <c r="KQH129"/>
      <c r="KQI129"/>
      <c r="KQJ129"/>
      <c r="KQK129"/>
      <c r="KQL129"/>
      <c r="KQM129"/>
      <c r="KQN129"/>
      <c r="KQO129"/>
      <c r="KQP129"/>
      <c r="KQQ129"/>
      <c r="KQR129"/>
      <c r="KQS129"/>
      <c r="KQT129"/>
      <c r="KQU129"/>
      <c r="KQV129"/>
      <c r="KQW129"/>
      <c r="KQX129"/>
      <c r="KQY129"/>
      <c r="KQZ129"/>
      <c r="KRA129"/>
      <c r="KRB129"/>
      <c r="KRC129"/>
      <c r="KRD129"/>
      <c r="KRE129"/>
      <c r="KRF129"/>
      <c r="KRG129"/>
      <c r="KRH129"/>
      <c r="KRI129"/>
      <c r="KRJ129"/>
      <c r="KRK129"/>
      <c r="KRL129"/>
      <c r="KRM129"/>
      <c r="KRN129"/>
      <c r="KRO129"/>
      <c r="KRP129"/>
      <c r="KRQ129"/>
      <c r="KRR129"/>
      <c r="KRS129"/>
      <c r="KRT129"/>
      <c r="KRU129"/>
      <c r="KRV129"/>
      <c r="KRW129"/>
      <c r="KRX129"/>
      <c r="KRY129"/>
      <c r="KRZ129"/>
      <c r="KSA129"/>
      <c r="KSB129"/>
      <c r="KSC129"/>
      <c r="KSD129"/>
      <c r="KSE129"/>
      <c r="KSF129"/>
      <c r="KSG129"/>
      <c r="KSH129"/>
      <c r="KSI129"/>
      <c r="KSJ129"/>
      <c r="KSK129"/>
      <c r="KSL129"/>
      <c r="KSM129"/>
      <c r="KSN129"/>
      <c r="KSO129"/>
      <c r="KSP129"/>
      <c r="KSQ129"/>
      <c r="KSR129"/>
      <c r="KSS129"/>
      <c r="KST129"/>
      <c r="KSU129"/>
      <c r="KSV129"/>
      <c r="KSW129"/>
      <c r="KSX129"/>
      <c r="KSY129"/>
      <c r="KSZ129"/>
      <c r="KTA129"/>
      <c r="KTB129"/>
      <c r="KTC129"/>
      <c r="KTD129"/>
      <c r="KTE129"/>
      <c r="KTF129"/>
      <c r="KTG129"/>
      <c r="KTH129"/>
      <c r="KTI129"/>
      <c r="KTJ129"/>
      <c r="KTK129"/>
      <c r="KTL129"/>
      <c r="KTM129"/>
      <c r="KTN129"/>
      <c r="KTO129"/>
      <c r="KTP129"/>
      <c r="KTQ129"/>
      <c r="KTR129"/>
      <c r="KTS129"/>
      <c r="KTT129"/>
      <c r="KTU129"/>
      <c r="KTV129"/>
      <c r="KTW129"/>
      <c r="KTX129"/>
      <c r="KTY129"/>
      <c r="KTZ129"/>
      <c r="KUA129"/>
      <c r="KUB129"/>
      <c r="KUC129"/>
      <c r="KUD129"/>
      <c r="KUE129"/>
      <c r="KUF129"/>
      <c r="KUG129"/>
      <c r="KUH129"/>
      <c r="KUI129"/>
      <c r="KUJ129"/>
      <c r="KUK129"/>
      <c r="KUL129"/>
      <c r="KUM129"/>
      <c r="KUN129"/>
      <c r="KUO129"/>
      <c r="KUP129"/>
      <c r="KUQ129"/>
      <c r="KUR129"/>
      <c r="KUS129"/>
      <c r="KUT129"/>
      <c r="KUU129"/>
      <c r="KUV129"/>
      <c r="KUW129"/>
      <c r="KUX129"/>
      <c r="KUY129"/>
      <c r="KUZ129"/>
      <c r="KVA129"/>
      <c r="KVB129"/>
      <c r="KVC129"/>
      <c r="KVD129"/>
      <c r="KVE129"/>
      <c r="KVF129"/>
      <c r="KVG129"/>
      <c r="KVH129"/>
      <c r="KVI129"/>
      <c r="KVJ129"/>
      <c r="KVK129"/>
      <c r="KVL129"/>
      <c r="KVM129"/>
      <c r="KVN129"/>
      <c r="KVO129"/>
      <c r="KVP129"/>
      <c r="KVQ129"/>
      <c r="KVR129"/>
      <c r="KVS129"/>
      <c r="KVT129"/>
      <c r="KVU129"/>
      <c r="KVV129"/>
      <c r="KVW129"/>
      <c r="KVX129"/>
      <c r="KVY129"/>
      <c r="KVZ129"/>
      <c r="KWA129"/>
      <c r="KWB129"/>
      <c r="KWC129"/>
      <c r="KWD129"/>
      <c r="KWE129"/>
      <c r="KWF129"/>
      <c r="KWG129"/>
      <c r="KWH129"/>
      <c r="KWI129"/>
      <c r="KWJ129"/>
      <c r="KWK129"/>
      <c r="KWL129"/>
      <c r="KWM129"/>
      <c r="KWN129"/>
      <c r="KWO129"/>
      <c r="KWP129"/>
      <c r="KWQ129"/>
      <c r="KWR129"/>
      <c r="KWS129"/>
      <c r="KWT129"/>
      <c r="KWU129"/>
      <c r="KWV129"/>
      <c r="KWW129"/>
      <c r="KWX129"/>
      <c r="KWY129"/>
      <c r="KWZ129"/>
      <c r="KXA129"/>
      <c r="KXB129"/>
      <c r="KXC129"/>
      <c r="KXD129"/>
      <c r="KXE129"/>
      <c r="KXF129"/>
      <c r="KXG129"/>
      <c r="KXH129"/>
      <c r="KXI129"/>
      <c r="KXJ129"/>
      <c r="KXK129"/>
      <c r="KXL129"/>
      <c r="KXM129"/>
      <c r="KXN129"/>
      <c r="KXO129"/>
      <c r="KXP129"/>
      <c r="KXQ129"/>
      <c r="KXR129"/>
      <c r="KXS129"/>
      <c r="KXT129"/>
      <c r="KXU129"/>
      <c r="KXV129"/>
      <c r="KXW129"/>
      <c r="KXX129"/>
      <c r="KXY129"/>
      <c r="KXZ129"/>
      <c r="KYA129"/>
      <c r="KYB129"/>
      <c r="KYC129"/>
      <c r="KYD129"/>
      <c r="KYE129"/>
      <c r="KYF129"/>
      <c r="KYG129"/>
      <c r="KYH129"/>
      <c r="KYI129"/>
      <c r="KYJ129"/>
      <c r="KYK129"/>
      <c r="KYL129"/>
      <c r="KYM129"/>
      <c r="KYN129"/>
      <c r="KYO129"/>
      <c r="KYP129"/>
      <c r="KYQ129"/>
      <c r="KYR129"/>
      <c r="KYS129"/>
      <c r="KYT129"/>
      <c r="KYU129"/>
      <c r="KYV129"/>
      <c r="KYW129"/>
      <c r="KYX129"/>
      <c r="KYY129"/>
      <c r="KYZ129"/>
      <c r="KZA129"/>
      <c r="KZB129"/>
      <c r="KZC129"/>
      <c r="KZD129"/>
      <c r="KZE129"/>
      <c r="KZF129"/>
      <c r="KZG129"/>
      <c r="KZH129"/>
      <c r="KZI129"/>
      <c r="KZJ129"/>
      <c r="KZK129"/>
      <c r="KZL129"/>
      <c r="KZM129"/>
      <c r="KZN129"/>
      <c r="KZO129"/>
      <c r="KZP129"/>
      <c r="KZQ129"/>
      <c r="KZR129"/>
      <c r="KZS129"/>
      <c r="KZT129"/>
      <c r="KZU129"/>
      <c r="KZV129"/>
      <c r="KZW129"/>
      <c r="KZX129"/>
      <c r="KZY129"/>
      <c r="KZZ129"/>
      <c r="LAA129"/>
      <c r="LAB129"/>
      <c r="LAC129"/>
      <c r="LAD129"/>
      <c r="LAE129"/>
      <c r="LAF129"/>
      <c r="LAG129"/>
      <c r="LAH129"/>
      <c r="LAI129"/>
      <c r="LAJ129"/>
      <c r="LAK129"/>
      <c r="LAL129"/>
      <c r="LAM129"/>
      <c r="LAN129"/>
      <c r="LAO129"/>
      <c r="LAP129"/>
      <c r="LAQ129"/>
      <c r="LAR129"/>
      <c r="LAS129"/>
      <c r="LAT129"/>
      <c r="LAU129"/>
      <c r="LAV129"/>
      <c r="LAW129"/>
      <c r="LAX129"/>
      <c r="LAY129"/>
      <c r="LAZ129"/>
      <c r="LBA129"/>
      <c r="LBB129"/>
      <c r="LBC129"/>
      <c r="LBD129"/>
      <c r="LBE129"/>
      <c r="LBF129"/>
      <c r="LBG129"/>
      <c r="LBH129"/>
      <c r="LBI129"/>
      <c r="LBJ129"/>
      <c r="LBK129"/>
      <c r="LBL129"/>
      <c r="LBM129"/>
      <c r="LBN129"/>
      <c r="LBO129"/>
      <c r="LBP129"/>
      <c r="LBQ129"/>
      <c r="LBR129"/>
      <c r="LBS129"/>
      <c r="LBT129"/>
      <c r="LBU129"/>
      <c r="LBV129"/>
      <c r="LBW129"/>
      <c r="LBX129"/>
      <c r="LBY129"/>
      <c r="LBZ129"/>
      <c r="LCA129"/>
      <c r="LCB129"/>
      <c r="LCC129"/>
      <c r="LCD129"/>
      <c r="LCE129"/>
      <c r="LCF129"/>
      <c r="LCG129"/>
      <c r="LCH129"/>
      <c r="LCI129"/>
      <c r="LCJ129"/>
      <c r="LCK129"/>
      <c r="LCL129"/>
      <c r="LCM129"/>
      <c r="LCN129"/>
      <c r="LCO129"/>
      <c r="LCP129"/>
      <c r="LCQ129"/>
      <c r="LCR129"/>
      <c r="LCS129"/>
      <c r="LCT129"/>
      <c r="LCU129"/>
      <c r="LCV129"/>
      <c r="LCW129"/>
      <c r="LCX129"/>
      <c r="LCY129"/>
      <c r="LCZ129"/>
      <c r="LDA129"/>
      <c r="LDB129"/>
      <c r="LDC129"/>
      <c r="LDD129"/>
      <c r="LDE129"/>
      <c r="LDF129"/>
      <c r="LDG129"/>
      <c r="LDH129"/>
      <c r="LDI129"/>
      <c r="LDJ129"/>
      <c r="LDK129"/>
      <c r="LDL129"/>
      <c r="LDM129"/>
      <c r="LDN129"/>
      <c r="LDO129"/>
      <c r="LDP129"/>
      <c r="LDQ129"/>
      <c r="LDR129"/>
      <c r="LDS129"/>
      <c r="LDT129"/>
      <c r="LDU129"/>
      <c r="LDV129"/>
      <c r="LDW129"/>
      <c r="LDX129"/>
      <c r="LDY129"/>
      <c r="LDZ129"/>
      <c r="LEA129"/>
      <c r="LEB129"/>
      <c r="LEC129"/>
      <c r="LED129"/>
      <c r="LEE129"/>
      <c r="LEF129"/>
      <c r="LEG129"/>
      <c r="LEH129"/>
      <c r="LEI129"/>
      <c r="LEJ129"/>
      <c r="LEK129"/>
      <c r="LEL129"/>
      <c r="LEM129"/>
      <c r="LEN129"/>
      <c r="LEO129"/>
      <c r="LEP129"/>
      <c r="LEQ129"/>
      <c r="LER129"/>
      <c r="LES129"/>
      <c r="LET129"/>
      <c r="LEU129"/>
      <c r="LEV129"/>
      <c r="LEW129"/>
      <c r="LEX129"/>
      <c r="LEY129"/>
      <c r="LEZ129"/>
      <c r="LFA129"/>
      <c r="LFB129"/>
      <c r="LFC129"/>
      <c r="LFD129"/>
      <c r="LFE129"/>
      <c r="LFF129"/>
      <c r="LFG129"/>
      <c r="LFH129"/>
      <c r="LFI129"/>
      <c r="LFJ129"/>
      <c r="LFK129"/>
      <c r="LFL129"/>
      <c r="LFM129"/>
      <c r="LFN129"/>
      <c r="LFO129"/>
      <c r="LFP129"/>
      <c r="LFQ129"/>
      <c r="LFR129"/>
      <c r="LFS129"/>
      <c r="LFT129"/>
      <c r="LFU129"/>
      <c r="LFV129"/>
      <c r="LFW129"/>
      <c r="LFX129"/>
      <c r="LFY129"/>
      <c r="LFZ129"/>
      <c r="LGA129"/>
      <c r="LGB129"/>
      <c r="LGC129"/>
      <c r="LGD129"/>
      <c r="LGE129"/>
      <c r="LGF129"/>
      <c r="LGG129"/>
      <c r="LGH129"/>
      <c r="LGI129"/>
      <c r="LGJ129"/>
      <c r="LGK129"/>
      <c r="LGL129"/>
      <c r="LGM129"/>
      <c r="LGN129"/>
      <c r="LGO129"/>
      <c r="LGP129"/>
      <c r="LGQ129"/>
      <c r="LGR129"/>
      <c r="LGS129"/>
      <c r="LGT129"/>
      <c r="LGU129"/>
      <c r="LGV129"/>
      <c r="LGW129"/>
      <c r="LGX129"/>
      <c r="LGY129"/>
      <c r="LGZ129"/>
      <c r="LHA129"/>
      <c r="LHB129"/>
      <c r="LHC129"/>
      <c r="LHD129"/>
      <c r="LHE129"/>
      <c r="LHF129"/>
      <c r="LHG129"/>
      <c r="LHH129"/>
      <c r="LHI129"/>
      <c r="LHJ129"/>
      <c r="LHK129"/>
      <c r="LHL129"/>
      <c r="LHM129"/>
      <c r="LHN129"/>
      <c r="LHO129"/>
      <c r="LHP129"/>
      <c r="LHQ129"/>
      <c r="LHR129"/>
      <c r="LHS129"/>
      <c r="LHT129"/>
      <c r="LHU129"/>
      <c r="LHV129"/>
      <c r="LHW129"/>
      <c r="LHX129"/>
      <c r="LHY129"/>
      <c r="LHZ129"/>
      <c r="LIA129"/>
      <c r="LIB129"/>
      <c r="LIC129"/>
      <c r="LID129"/>
      <c r="LIE129"/>
      <c r="LIF129"/>
      <c r="LIG129"/>
      <c r="LIH129"/>
      <c r="LII129"/>
      <c r="LIJ129"/>
      <c r="LIK129"/>
      <c r="LIL129"/>
      <c r="LIM129"/>
      <c r="LIN129"/>
      <c r="LIO129"/>
      <c r="LIP129"/>
      <c r="LIQ129"/>
      <c r="LIR129"/>
      <c r="LIS129"/>
      <c r="LIT129"/>
      <c r="LIU129"/>
      <c r="LIV129"/>
      <c r="LIW129"/>
      <c r="LIX129"/>
      <c r="LIY129"/>
      <c r="LIZ129"/>
      <c r="LJA129"/>
      <c r="LJB129"/>
      <c r="LJC129"/>
      <c r="LJD129"/>
      <c r="LJE129"/>
      <c r="LJF129"/>
      <c r="LJG129"/>
      <c r="LJH129"/>
      <c r="LJI129"/>
      <c r="LJJ129"/>
      <c r="LJK129"/>
      <c r="LJL129"/>
      <c r="LJM129"/>
      <c r="LJN129"/>
      <c r="LJO129"/>
      <c r="LJP129"/>
      <c r="LJQ129"/>
      <c r="LJR129"/>
      <c r="LJS129"/>
      <c r="LJT129"/>
      <c r="LJU129"/>
      <c r="LJV129"/>
      <c r="LJW129"/>
      <c r="LJX129"/>
      <c r="LJY129"/>
      <c r="LJZ129"/>
      <c r="LKA129"/>
      <c r="LKB129"/>
      <c r="LKC129"/>
      <c r="LKD129"/>
      <c r="LKE129"/>
      <c r="LKF129"/>
      <c r="LKG129"/>
      <c r="LKH129"/>
      <c r="LKI129"/>
      <c r="LKJ129"/>
      <c r="LKK129"/>
      <c r="LKL129"/>
      <c r="LKM129"/>
      <c r="LKN129"/>
      <c r="LKO129"/>
      <c r="LKP129"/>
      <c r="LKQ129"/>
      <c r="LKR129"/>
      <c r="LKS129"/>
      <c r="LKT129"/>
      <c r="LKU129"/>
      <c r="LKV129"/>
      <c r="LKW129"/>
      <c r="LKX129"/>
      <c r="LKY129"/>
      <c r="LKZ129"/>
      <c r="LLA129"/>
      <c r="LLB129"/>
      <c r="LLC129"/>
      <c r="LLD129"/>
      <c r="LLE129"/>
      <c r="LLF129"/>
      <c r="LLG129"/>
      <c r="LLH129"/>
      <c r="LLI129"/>
      <c r="LLJ129"/>
      <c r="LLK129"/>
      <c r="LLL129"/>
      <c r="LLM129"/>
      <c r="LLN129"/>
      <c r="LLO129"/>
      <c r="LLP129"/>
      <c r="LLQ129"/>
      <c r="LLR129"/>
      <c r="LLS129"/>
      <c r="LLT129"/>
      <c r="LLU129"/>
      <c r="LLV129"/>
      <c r="LLW129"/>
      <c r="LLX129"/>
      <c r="LLY129"/>
      <c r="LLZ129"/>
      <c r="LMA129"/>
      <c r="LMB129"/>
      <c r="LMC129"/>
      <c r="LMD129"/>
      <c r="LME129"/>
      <c r="LMF129"/>
      <c r="LMG129"/>
      <c r="LMH129"/>
      <c r="LMI129"/>
      <c r="LMJ129"/>
      <c r="LMK129"/>
      <c r="LML129"/>
      <c r="LMM129"/>
      <c r="LMN129"/>
      <c r="LMO129"/>
      <c r="LMP129"/>
      <c r="LMQ129"/>
      <c r="LMR129"/>
      <c r="LMS129"/>
      <c r="LMT129"/>
      <c r="LMU129"/>
      <c r="LMV129"/>
      <c r="LMW129"/>
      <c r="LMX129"/>
      <c r="LMY129"/>
      <c r="LMZ129"/>
      <c r="LNA129"/>
      <c r="LNB129"/>
      <c r="LNC129"/>
      <c r="LND129"/>
      <c r="LNE129"/>
      <c r="LNF129"/>
      <c r="LNG129"/>
      <c r="LNH129"/>
      <c r="LNI129"/>
      <c r="LNJ129"/>
      <c r="LNK129"/>
      <c r="LNL129"/>
      <c r="LNM129"/>
      <c r="LNN129"/>
      <c r="LNO129"/>
      <c r="LNP129"/>
      <c r="LNQ129"/>
      <c r="LNR129"/>
      <c r="LNS129"/>
      <c r="LNT129"/>
      <c r="LNU129"/>
      <c r="LNV129"/>
      <c r="LNW129"/>
      <c r="LNX129"/>
      <c r="LNY129"/>
      <c r="LNZ129"/>
      <c r="LOA129"/>
      <c r="LOB129"/>
      <c r="LOC129"/>
      <c r="LOD129"/>
      <c r="LOE129"/>
      <c r="LOF129"/>
      <c r="LOG129"/>
      <c r="LOH129"/>
      <c r="LOI129"/>
      <c r="LOJ129"/>
      <c r="LOK129"/>
      <c r="LOL129"/>
      <c r="LOM129"/>
      <c r="LON129"/>
      <c r="LOO129"/>
      <c r="LOP129"/>
      <c r="LOQ129"/>
      <c r="LOR129"/>
      <c r="LOS129"/>
      <c r="LOT129"/>
      <c r="LOU129"/>
      <c r="LOV129"/>
      <c r="LOW129"/>
      <c r="LOX129"/>
      <c r="LOY129"/>
      <c r="LOZ129"/>
      <c r="LPA129"/>
      <c r="LPB129"/>
      <c r="LPC129"/>
      <c r="LPD129"/>
      <c r="LPE129"/>
      <c r="LPF129"/>
      <c r="LPG129"/>
      <c r="LPH129"/>
      <c r="LPI129"/>
      <c r="LPJ129"/>
      <c r="LPK129"/>
      <c r="LPL129"/>
      <c r="LPM129"/>
      <c r="LPN129"/>
      <c r="LPO129"/>
      <c r="LPP129"/>
      <c r="LPQ129"/>
      <c r="LPR129"/>
      <c r="LPS129"/>
      <c r="LPT129"/>
      <c r="LPU129"/>
      <c r="LPV129"/>
      <c r="LPW129"/>
      <c r="LPX129"/>
      <c r="LPY129"/>
      <c r="LPZ129"/>
      <c r="LQA129"/>
      <c r="LQB129"/>
      <c r="LQC129"/>
      <c r="LQD129"/>
      <c r="LQE129"/>
      <c r="LQF129"/>
      <c r="LQG129"/>
      <c r="LQH129"/>
      <c r="LQI129"/>
      <c r="LQJ129"/>
      <c r="LQK129"/>
      <c r="LQL129"/>
      <c r="LQM129"/>
      <c r="LQN129"/>
      <c r="LQO129"/>
      <c r="LQP129"/>
      <c r="LQQ129"/>
      <c r="LQR129"/>
      <c r="LQS129"/>
      <c r="LQT129"/>
      <c r="LQU129"/>
      <c r="LQV129"/>
      <c r="LQW129"/>
      <c r="LQX129"/>
      <c r="LQY129"/>
      <c r="LQZ129"/>
      <c r="LRA129"/>
      <c r="LRB129"/>
      <c r="LRC129"/>
      <c r="LRD129"/>
      <c r="LRE129"/>
      <c r="LRF129"/>
      <c r="LRG129"/>
      <c r="LRH129"/>
      <c r="LRI129"/>
      <c r="LRJ129"/>
      <c r="LRK129"/>
      <c r="LRL129"/>
      <c r="LRM129"/>
      <c r="LRN129"/>
      <c r="LRO129"/>
      <c r="LRP129"/>
      <c r="LRQ129"/>
      <c r="LRR129"/>
      <c r="LRS129"/>
      <c r="LRT129"/>
      <c r="LRU129"/>
      <c r="LRV129"/>
      <c r="LRW129"/>
      <c r="LRX129"/>
      <c r="LRY129"/>
      <c r="LRZ129"/>
      <c r="LSA129"/>
      <c r="LSB129"/>
      <c r="LSC129"/>
      <c r="LSD129"/>
      <c r="LSE129"/>
      <c r="LSF129"/>
      <c r="LSG129"/>
      <c r="LSH129"/>
      <c r="LSI129"/>
      <c r="LSJ129"/>
      <c r="LSK129"/>
      <c r="LSL129"/>
      <c r="LSM129"/>
      <c r="LSN129"/>
      <c r="LSO129"/>
      <c r="LSP129"/>
      <c r="LSQ129"/>
      <c r="LSR129"/>
      <c r="LSS129"/>
      <c r="LST129"/>
      <c r="LSU129"/>
      <c r="LSV129"/>
      <c r="LSW129"/>
      <c r="LSX129"/>
      <c r="LSY129"/>
      <c r="LSZ129"/>
      <c r="LTA129"/>
      <c r="LTB129"/>
      <c r="LTC129"/>
      <c r="LTD129"/>
      <c r="LTE129"/>
      <c r="LTF129"/>
      <c r="LTG129"/>
      <c r="LTH129"/>
      <c r="LTI129"/>
      <c r="LTJ129"/>
      <c r="LTK129"/>
      <c r="LTL129"/>
      <c r="LTM129"/>
      <c r="LTN129"/>
      <c r="LTO129"/>
      <c r="LTP129"/>
      <c r="LTQ129"/>
      <c r="LTR129"/>
      <c r="LTS129"/>
      <c r="LTT129"/>
      <c r="LTU129"/>
      <c r="LTV129"/>
      <c r="LTW129"/>
      <c r="LTX129"/>
      <c r="LTY129"/>
      <c r="LTZ129"/>
      <c r="LUA129"/>
      <c r="LUB129"/>
      <c r="LUC129"/>
      <c r="LUD129"/>
      <c r="LUE129"/>
      <c r="LUF129"/>
      <c r="LUG129"/>
      <c r="LUH129"/>
      <c r="LUI129"/>
      <c r="LUJ129"/>
      <c r="LUK129"/>
      <c r="LUL129"/>
      <c r="LUM129"/>
      <c r="LUN129"/>
      <c r="LUO129"/>
      <c r="LUP129"/>
      <c r="LUQ129"/>
      <c r="LUR129"/>
      <c r="LUS129"/>
      <c r="LUT129"/>
      <c r="LUU129"/>
      <c r="LUV129"/>
      <c r="LUW129"/>
      <c r="LUX129"/>
      <c r="LUY129"/>
      <c r="LUZ129"/>
      <c r="LVA129"/>
      <c r="LVB129"/>
      <c r="LVC129"/>
      <c r="LVD129"/>
      <c r="LVE129"/>
      <c r="LVF129"/>
      <c r="LVG129"/>
      <c r="LVH129"/>
      <c r="LVI129"/>
      <c r="LVJ129"/>
      <c r="LVK129"/>
      <c r="LVL129"/>
      <c r="LVM129"/>
      <c r="LVN129"/>
      <c r="LVO129"/>
      <c r="LVP129"/>
      <c r="LVQ129"/>
      <c r="LVR129"/>
      <c r="LVS129"/>
      <c r="LVT129"/>
      <c r="LVU129"/>
      <c r="LVV129"/>
      <c r="LVW129"/>
      <c r="LVX129"/>
      <c r="LVY129"/>
      <c r="LVZ129"/>
      <c r="LWA129"/>
      <c r="LWB129"/>
      <c r="LWC129"/>
      <c r="LWD129"/>
      <c r="LWE129"/>
      <c r="LWF129"/>
      <c r="LWG129"/>
      <c r="LWH129"/>
      <c r="LWI129"/>
      <c r="LWJ129"/>
      <c r="LWK129"/>
      <c r="LWL129"/>
      <c r="LWM129"/>
      <c r="LWN129"/>
      <c r="LWO129"/>
      <c r="LWP129"/>
      <c r="LWQ129"/>
      <c r="LWR129"/>
      <c r="LWS129"/>
      <c r="LWT129"/>
      <c r="LWU129"/>
      <c r="LWV129"/>
      <c r="LWW129"/>
      <c r="LWX129"/>
      <c r="LWY129"/>
      <c r="LWZ129"/>
      <c r="LXA129"/>
      <c r="LXB129"/>
      <c r="LXC129"/>
      <c r="LXD129"/>
      <c r="LXE129"/>
      <c r="LXF129"/>
      <c r="LXG129"/>
      <c r="LXH129"/>
      <c r="LXI129"/>
      <c r="LXJ129"/>
      <c r="LXK129"/>
      <c r="LXL129"/>
      <c r="LXM129"/>
      <c r="LXN129"/>
      <c r="LXO129"/>
      <c r="LXP129"/>
      <c r="LXQ129"/>
      <c r="LXR129"/>
      <c r="LXS129"/>
      <c r="LXT129"/>
      <c r="LXU129"/>
      <c r="LXV129"/>
      <c r="LXW129"/>
      <c r="LXX129"/>
      <c r="LXY129"/>
      <c r="LXZ129"/>
      <c r="LYA129"/>
      <c r="LYB129"/>
      <c r="LYC129"/>
      <c r="LYD129"/>
      <c r="LYE129"/>
      <c r="LYF129"/>
      <c r="LYG129"/>
      <c r="LYH129"/>
      <c r="LYI129"/>
      <c r="LYJ129"/>
      <c r="LYK129"/>
      <c r="LYL129"/>
      <c r="LYM129"/>
      <c r="LYN129"/>
      <c r="LYO129"/>
      <c r="LYP129"/>
      <c r="LYQ129"/>
      <c r="LYR129"/>
      <c r="LYS129"/>
      <c r="LYT129"/>
      <c r="LYU129"/>
      <c r="LYV129"/>
      <c r="LYW129"/>
      <c r="LYX129"/>
      <c r="LYY129"/>
      <c r="LYZ129"/>
      <c r="LZA129"/>
      <c r="LZB129"/>
      <c r="LZC129"/>
      <c r="LZD129"/>
      <c r="LZE129"/>
      <c r="LZF129"/>
      <c r="LZG129"/>
      <c r="LZH129"/>
      <c r="LZI129"/>
      <c r="LZJ129"/>
      <c r="LZK129"/>
      <c r="LZL129"/>
      <c r="LZM129"/>
      <c r="LZN129"/>
      <c r="LZO129"/>
      <c r="LZP129"/>
      <c r="LZQ129"/>
      <c r="LZR129"/>
      <c r="LZS129"/>
      <c r="LZT129"/>
      <c r="LZU129"/>
      <c r="LZV129"/>
      <c r="LZW129"/>
      <c r="LZX129"/>
      <c r="LZY129"/>
      <c r="LZZ129"/>
      <c r="MAA129"/>
      <c r="MAB129"/>
      <c r="MAC129"/>
      <c r="MAD129"/>
      <c r="MAE129"/>
      <c r="MAF129"/>
      <c r="MAG129"/>
      <c r="MAH129"/>
      <c r="MAI129"/>
      <c r="MAJ129"/>
      <c r="MAK129"/>
      <c r="MAL129"/>
      <c r="MAM129"/>
      <c r="MAN129"/>
      <c r="MAO129"/>
      <c r="MAP129"/>
      <c r="MAQ129"/>
      <c r="MAR129"/>
      <c r="MAS129"/>
      <c r="MAT129"/>
      <c r="MAU129"/>
      <c r="MAV129"/>
      <c r="MAW129"/>
      <c r="MAX129"/>
      <c r="MAY129"/>
      <c r="MAZ129"/>
      <c r="MBA129"/>
      <c r="MBB129"/>
      <c r="MBC129"/>
      <c r="MBD129"/>
      <c r="MBE129"/>
      <c r="MBF129"/>
      <c r="MBG129"/>
      <c r="MBH129"/>
      <c r="MBI129"/>
      <c r="MBJ129"/>
      <c r="MBK129"/>
      <c r="MBL129"/>
      <c r="MBM129"/>
      <c r="MBN129"/>
      <c r="MBO129"/>
      <c r="MBP129"/>
      <c r="MBQ129"/>
      <c r="MBR129"/>
      <c r="MBS129"/>
      <c r="MBT129"/>
      <c r="MBU129"/>
      <c r="MBV129"/>
      <c r="MBW129"/>
      <c r="MBX129"/>
      <c r="MBY129"/>
      <c r="MBZ129"/>
      <c r="MCA129"/>
      <c r="MCB129"/>
      <c r="MCC129"/>
      <c r="MCD129"/>
      <c r="MCE129"/>
      <c r="MCF129"/>
      <c r="MCG129"/>
      <c r="MCH129"/>
      <c r="MCI129"/>
      <c r="MCJ129"/>
      <c r="MCK129"/>
      <c r="MCL129"/>
      <c r="MCM129"/>
      <c r="MCN129"/>
      <c r="MCO129"/>
      <c r="MCP129"/>
      <c r="MCQ129"/>
      <c r="MCR129"/>
      <c r="MCS129"/>
      <c r="MCT129"/>
      <c r="MCU129"/>
      <c r="MCV129"/>
      <c r="MCW129"/>
      <c r="MCX129"/>
      <c r="MCY129"/>
      <c r="MCZ129"/>
      <c r="MDA129"/>
      <c r="MDB129"/>
      <c r="MDC129"/>
      <c r="MDD129"/>
      <c r="MDE129"/>
      <c r="MDF129"/>
      <c r="MDG129"/>
      <c r="MDH129"/>
      <c r="MDI129"/>
      <c r="MDJ129"/>
      <c r="MDK129"/>
      <c r="MDL129"/>
      <c r="MDM129"/>
      <c r="MDN129"/>
      <c r="MDO129"/>
      <c r="MDP129"/>
      <c r="MDQ129"/>
      <c r="MDR129"/>
      <c r="MDS129"/>
      <c r="MDT129"/>
      <c r="MDU129"/>
      <c r="MDV129"/>
      <c r="MDW129"/>
      <c r="MDX129"/>
      <c r="MDY129"/>
      <c r="MDZ129"/>
      <c r="MEA129"/>
      <c r="MEB129"/>
      <c r="MEC129"/>
      <c r="MED129"/>
      <c r="MEE129"/>
      <c r="MEF129"/>
      <c r="MEG129"/>
      <c r="MEH129"/>
      <c r="MEI129"/>
      <c r="MEJ129"/>
      <c r="MEK129"/>
      <c r="MEL129"/>
      <c r="MEM129"/>
      <c r="MEN129"/>
      <c r="MEO129"/>
      <c r="MEP129"/>
      <c r="MEQ129"/>
      <c r="MER129"/>
      <c r="MES129"/>
      <c r="MET129"/>
      <c r="MEU129"/>
      <c r="MEV129"/>
      <c r="MEW129"/>
      <c r="MEX129"/>
      <c r="MEY129"/>
      <c r="MEZ129"/>
      <c r="MFA129"/>
      <c r="MFB129"/>
      <c r="MFC129"/>
      <c r="MFD129"/>
      <c r="MFE129"/>
      <c r="MFF129"/>
      <c r="MFG129"/>
      <c r="MFH129"/>
      <c r="MFI129"/>
      <c r="MFJ129"/>
      <c r="MFK129"/>
      <c r="MFL129"/>
      <c r="MFM129"/>
      <c r="MFN129"/>
      <c r="MFO129"/>
      <c r="MFP129"/>
      <c r="MFQ129"/>
      <c r="MFR129"/>
      <c r="MFS129"/>
      <c r="MFT129"/>
      <c r="MFU129"/>
      <c r="MFV129"/>
      <c r="MFW129"/>
      <c r="MFX129"/>
      <c r="MFY129"/>
      <c r="MFZ129"/>
      <c r="MGA129"/>
      <c r="MGB129"/>
      <c r="MGC129"/>
      <c r="MGD129"/>
      <c r="MGE129"/>
      <c r="MGF129"/>
      <c r="MGG129"/>
      <c r="MGH129"/>
      <c r="MGI129"/>
      <c r="MGJ129"/>
      <c r="MGK129"/>
      <c r="MGL129"/>
      <c r="MGM129"/>
      <c r="MGN129"/>
      <c r="MGO129"/>
      <c r="MGP129"/>
      <c r="MGQ129"/>
      <c r="MGR129"/>
      <c r="MGS129"/>
      <c r="MGT129"/>
      <c r="MGU129"/>
      <c r="MGV129"/>
      <c r="MGW129"/>
      <c r="MGX129"/>
      <c r="MGY129"/>
      <c r="MGZ129"/>
      <c r="MHA129"/>
      <c r="MHB129"/>
      <c r="MHC129"/>
      <c r="MHD129"/>
      <c r="MHE129"/>
      <c r="MHF129"/>
      <c r="MHG129"/>
      <c r="MHH129"/>
      <c r="MHI129"/>
      <c r="MHJ129"/>
      <c r="MHK129"/>
      <c r="MHL129"/>
      <c r="MHM129"/>
      <c r="MHN129"/>
      <c r="MHO129"/>
      <c r="MHP129"/>
      <c r="MHQ129"/>
      <c r="MHR129"/>
      <c r="MHS129"/>
      <c r="MHT129"/>
      <c r="MHU129"/>
      <c r="MHV129"/>
      <c r="MHW129"/>
      <c r="MHX129"/>
      <c r="MHY129"/>
      <c r="MHZ129"/>
      <c r="MIA129"/>
      <c r="MIB129"/>
      <c r="MIC129"/>
      <c r="MID129"/>
      <c r="MIE129"/>
      <c r="MIF129"/>
      <c r="MIG129"/>
      <c r="MIH129"/>
      <c r="MII129"/>
      <c r="MIJ129"/>
      <c r="MIK129"/>
      <c r="MIL129"/>
      <c r="MIM129"/>
      <c r="MIN129"/>
      <c r="MIO129"/>
      <c r="MIP129"/>
      <c r="MIQ129"/>
      <c r="MIR129"/>
      <c r="MIS129"/>
      <c r="MIT129"/>
      <c r="MIU129"/>
      <c r="MIV129"/>
      <c r="MIW129"/>
      <c r="MIX129"/>
      <c r="MIY129"/>
      <c r="MIZ129"/>
      <c r="MJA129"/>
      <c r="MJB129"/>
      <c r="MJC129"/>
      <c r="MJD129"/>
      <c r="MJE129"/>
      <c r="MJF129"/>
      <c r="MJG129"/>
      <c r="MJH129"/>
      <c r="MJI129"/>
      <c r="MJJ129"/>
      <c r="MJK129"/>
      <c r="MJL129"/>
      <c r="MJM129"/>
      <c r="MJN129"/>
      <c r="MJO129"/>
      <c r="MJP129"/>
      <c r="MJQ129"/>
      <c r="MJR129"/>
      <c r="MJS129"/>
      <c r="MJT129"/>
      <c r="MJU129"/>
      <c r="MJV129"/>
      <c r="MJW129"/>
      <c r="MJX129"/>
      <c r="MJY129"/>
      <c r="MJZ129"/>
      <c r="MKA129"/>
      <c r="MKB129"/>
      <c r="MKC129"/>
      <c r="MKD129"/>
      <c r="MKE129"/>
      <c r="MKF129"/>
      <c r="MKG129"/>
      <c r="MKH129"/>
      <c r="MKI129"/>
      <c r="MKJ129"/>
      <c r="MKK129"/>
      <c r="MKL129"/>
      <c r="MKM129"/>
      <c r="MKN129"/>
      <c r="MKO129"/>
      <c r="MKP129"/>
      <c r="MKQ129"/>
      <c r="MKR129"/>
      <c r="MKS129"/>
      <c r="MKT129"/>
      <c r="MKU129"/>
      <c r="MKV129"/>
      <c r="MKW129"/>
      <c r="MKX129"/>
      <c r="MKY129"/>
      <c r="MKZ129"/>
      <c r="MLA129"/>
      <c r="MLB129"/>
      <c r="MLC129"/>
      <c r="MLD129"/>
      <c r="MLE129"/>
      <c r="MLF129"/>
      <c r="MLG129"/>
      <c r="MLH129"/>
      <c r="MLI129"/>
      <c r="MLJ129"/>
      <c r="MLK129"/>
      <c r="MLL129"/>
      <c r="MLM129"/>
      <c r="MLN129"/>
      <c r="MLO129"/>
      <c r="MLP129"/>
      <c r="MLQ129"/>
      <c r="MLR129"/>
      <c r="MLS129"/>
      <c r="MLT129"/>
      <c r="MLU129"/>
      <c r="MLV129"/>
      <c r="MLW129"/>
      <c r="MLX129"/>
      <c r="MLY129"/>
      <c r="MLZ129"/>
      <c r="MMA129"/>
      <c r="MMB129"/>
      <c r="MMC129"/>
      <c r="MMD129"/>
      <c r="MME129"/>
      <c r="MMF129"/>
      <c r="MMG129"/>
      <c r="MMH129"/>
      <c r="MMI129"/>
      <c r="MMJ129"/>
      <c r="MMK129"/>
      <c r="MML129"/>
      <c r="MMM129"/>
      <c r="MMN129"/>
      <c r="MMO129"/>
      <c r="MMP129"/>
      <c r="MMQ129"/>
      <c r="MMR129"/>
      <c r="MMS129"/>
      <c r="MMT129"/>
      <c r="MMU129"/>
      <c r="MMV129"/>
      <c r="MMW129"/>
      <c r="MMX129"/>
      <c r="MMY129"/>
      <c r="MMZ129"/>
      <c r="MNA129"/>
      <c r="MNB129"/>
      <c r="MNC129"/>
      <c r="MND129"/>
      <c r="MNE129"/>
      <c r="MNF129"/>
      <c r="MNG129"/>
      <c r="MNH129"/>
      <c r="MNI129"/>
      <c r="MNJ129"/>
      <c r="MNK129"/>
      <c r="MNL129"/>
      <c r="MNM129"/>
      <c r="MNN129"/>
      <c r="MNO129"/>
      <c r="MNP129"/>
      <c r="MNQ129"/>
      <c r="MNR129"/>
      <c r="MNS129"/>
      <c r="MNT129"/>
      <c r="MNU129"/>
      <c r="MNV129"/>
      <c r="MNW129"/>
      <c r="MNX129"/>
      <c r="MNY129"/>
      <c r="MNZ129"/>
      <c r="MOA129"/>
      <c r="MOB129"/>
      <c r="MOC129"/>
      <c r="MOD129"/>
      <c r="MOE129"/>
      <c r="MOF129"/>
      <c r="MOG129"/>
      <c r="MOH129"/>
      <c r="MOI129"/>
      <c r="MOJ129"/>
      <c r="MOK129"/>
      <c r="MOL129"/>
      <c r="MOM129"/>
      <c r="MON129"/>
      <c r="MOO129"/>
      <c r="MOP129"/>
      <c r="MOQ129"/>
      <c r="MOR129"/>
      <c r="MOS129"/>
      <c r="MOT129"/>
      <c r="MOU129"/>
      <c r="MOV129"/>
      <c r="MOW129"/>
      <c r="MOX129"/>
      <c r="MOY129"/>
      <c r="MOZ129"/>
      <c r="MPA129"/>
      <c r="MPB129"/>
      <c r="MPC129"/>
      <c r="MPD129"/>
      <c r="MPE129"/>
      <c r="MPF129"/>
      <c r="MPG129"/>
      <c r="MPH129"/>
      <c r="MPI129"/>
      <c r="MPJ129"/>
      <c r="MPK129"/>
      <c r="MPL129"/>
      <c r="MPM129"/>
      <c r="MPN129"/>
      <c r="MPO129"/>
      <c r="MPP129"/>
      <c r="MPQ129"/>
      <c r="MPR129"/>
      <c r="MPS129"/>
      <c r="MPT129"/>
      <c r="MPU129"/>
      <c r="MPV129"/>
      <c r="MPW129"/>
      <c r="MPX129"/>
      <c r="MPY129"/>
      <c r="MPZ129"/>
      <c r="MQA129"/>
      <c r="MQB129"/>
      <c r="MQC129"/>
      <c r="MQD129"/>
      <c r="MQE129"/>
      <c r="MQF129"/>
      <c r="MQG129"/>
      <c r="MQH129"/>
      <c r="MQI129"/>
      <c r="MQJ129"/>
      <c r="MQK129"/>
      <c r="MQL129"/>
      <c r="MQM129"/>
      <c r="MQN129"/>
      <c r="MQO129"/>
      <c r="MQP129"/>
      <c r="MQQ129"/>
      <c r="MQR129"/>
      <c r="MQS129"/>
      <c r="MQT129"/>
      <c r="MQU129"/>
      <c r="MQV129"/>
      <c r="MQW129"/>
      <c r="MQX129"/>
      <c r="MQY129"/>
      <c r="MQZ129"/>
      <c r="MRA129"/>
      <c r="MRB129"/>
      <c r="MRC129"/>
      <c r="MRD129"/>
      <c r="MRE129"/>
      <c r="MRF129"/>
      <c r="MRG129"/>
      <c r="MRH129"/>
      <c r="MRI129"/>
      <c r="MRJ129"/>
      <c r="MRK129"/>
      <c r="MRL129"/>
      <c r="MRM129"/>
      <c r="MRN129"/>
      <c r="MRO129"/>
      <c r="MRP129"/>
      <c r="MRQ129"/>
      <c r="MRR129"/>
      <c r="MRS129"/>
      <c r="MRT129"/>
      <c r="MRU129"/>
      <c r="MRV129"/>
      <c r="MRW129"/>
      <c r="MRX129"/>
      <c r="MRY129"/>
      <c r="MRZ129"/>
      <c r="MSA129"/>
      <c r="MSB129"/>
      <c r="MSC129"/>
      <c r="MSD129"/>
      <c r="MSE129"/>
      <c r="MSF129"/>
      <c r="MSG129"/>
      <c r="MSH129"/>
      <c r="MSI129"/>
      <c r="MSJ129"/>
      <c r="MSK129"/>
      <c r="MSL129"/>
      <c r="MSM129"/>
      <c r="MSN129"/>
      <c r="MSO129"/>
      <c r="MSP129"/>
      <c r="MSQ129"/>
      <c r="MSR129"/>
      <c r="MSS129"/>
      <c r="MST129"/>
      <c r="MSU129"/>
      <c r="MSV129"/>
      <c r="MSW129"/>
      <c r="MSX129"/>
      <c r="MSY129"/>
      <c r="MSZ129"/>
      <c r="MTA129"/>
      <c r="MTB129"/>
      <c r="MTC129"/>
      <c r="MTD129"/>
      <c r="MTE129"/>
      <c r="MTF129"/>
      <c r="MTG129"/>
      <c r="MTH129"/>
      <c r="MTI129"/>
      <c r="MTJ129"/>
      <c r="MTK129"/>
      <c r="MTL129"/>
      <c r="MTM129"/>
      <c r="MTN129"/>
      <c r="MTO129"/>
      <c r="MTP129"/>
      <c r="MTQ129"/>
      <c r="MTR129"/>
      <c r="MTS129"/>
      <c r="MTT129"/>
      <c r="MTU129"/>
      <c r="MTV129"/>
      <c r="MTW129"/>
      <c r="MTX129"/>
      <c r="MTY129"/>
      <c r="MTZ129"/>
      <c r="MUA129"/>
      <c r="MUB129"/>
      <c r="MUC129"/>
      <c r="MUD129"/>
      <c r="MUE129"/>
      <c r="MUF129"/>
      <c r="MUG129"/>
      <c r="MUH129"/>
      <c r="MUI129"/>
      <c r="MUJ129"/>
      <c r="MUK129"/>
      <c r="MUL129"/>
      <c r="MUM129"/>
      <c r="MUN129"/>
      <c r="MUO129"/>
      <c r="MUP129"/>
      <c r="MUQ129"/>
      <c r="MUR129"/>
      <c r="MUS129"/>
      <c r="MUT129"/>
      <c r="MUU129"/>
      <c r="MUV129"/>
      <c r="MUW129"/>
      <c r="MUX129"/>
      <c r="MUY129"/>
      <c r="MUZ129"/>
      <c r="MVA129"/>
      <c r="MVB129"/>
      <c r="MVC129"/>
      <c r="MVD129"/>
      <c r="MVE129"/>
      <c r="MVF129"/>
      <c r="MVG129"/>
      <c r="MVH129"/>
      <c r="MVI129"/>
      <c r="MVJ129"/>
      <c r="MVK129"/>
      <c r="MVL129"/>
      <c r="MVM129"/>
      <c r="MVN129"/>
      <c r="MVO129"/>
      <c r="MVP129"/>
      <c r="MVQ129"/>
      <c r="MVR129"/>
      <c r="MVS129"/>
      <c r="MVT129"/>
      <c r="MVU129"/>
      <c r="MVV129"/>
      <c r="MVW129"/>
      <c r="MVX129"/>
      <c r="MVY129"/>
      <c r="MVZ129"/>
      <c r="MWA129"/>
      <c r="MWB129"/>
      <c r="MWC129"/>
      <c r="MWD129"/>
      <c r="MWE129"/>
      <c r="MWF129"/>
      <c r="MWG129"/>
      <c r="MWH129"/>
      <c r="MWI129"/>
      <c r="MWJ129"/>
      <c r="MWK129"/>
      <c r="MWL129"/>
      <c r="MWM129"/>
      <c r="MWN129"/>
      <c r="MWO129"/>
      <c r="MWP129"/>
      <c r="MWQ129"/>
      <c r="MWR129"/>
      <c r="MWS129"/>
      <c r="MWT129"/>
      <c r="MWU129"/>
      <c r="MWV129"/>
      <c r="MWW129"/>
      <c r="MWX129"/>
      <c r="MWY129"/>
      <c r="MWZ129"/>
      <c r="MXA129"/>
      <c r="MXB129"/>
      <c r="MXC129"/>
      <c r="MXD129"/>
      <c r="MXE129"/>
      <c r="MXF129"/>
      <c r="MXG129"/>
      <c r="MXH129"/>
      <c r="MXI129"/>
      <c r="MXJ129"/>
      <c r="MXK129"/>
      <c r="MXL129"/>
      <c r="MXM129"/>
      <c r="MXN129"/>
      <c r="MXO129"/>
      <c r="MXP129"/>
      <c r="MXQ129"/>
      <c r="MXR129"/>
      <c r="MXS129"/>
      <c r="MXT129"/>
      <c r="MXU129"/>
      <c r="MXV129"/>
      <c r="MXW129"/>
      <c r="MXX129"/>
      <c r="MXY129"/>
      <c r="MXZ129"/>
      <c r="MYA129"/>
      <c r="MYB129"/>
      <c r="MYC129"/>
      <c r="MYD129"/>
      <c r="MYE129"/>
      <c r="MYF129"/>
      <c r="MYG129"/>
      <c r="MYH129"/>
      <c r="MYI129"/>
      <c r="MYJ129"/>
      <c r="MYK129"/>
      <c r="MYL129"/>
      <c r="MYM129"/>
      <c r="MYN129"/>
      <c r="MYO129"/>
      <c r="MYP129"/>
      <c r="MYQ129"/>
      <c r="MYR129"/>
      <c r="MYS129"/>
      <c r="MYT129"/>
      <c r="MYU129"/>
      <c r="MYV129"/>
      <c r="MYW129"/>
      <c r="MYX129"/>
      <c r="MYY129"/>
      <c r="MYZ129"/>
      <c r="MZA129"/>
      <c r="MZB129"/>
      <c r="MZC129"/>
      <c r="MZD129"/>
      <c r="MZE129"/>
      <c r="MZF129"/>
      <c r="MZG129"/>
      <c r="MZH129"/>
      <c r="MZI129"/>
      <c r="MZJ129"/>
      <c r="MZK129"/>
      <c r="MZL129"/>
      <c r="MZM129"/>
      <c r="MZN129"/>
      <c r="MZO129"/>
      <c r="MZP129"/>
      <c r="MZQ129"/>
      <c r="MZR129"/>
      <c r="MZS129"/>
      <c r="MZT129"/>
      <c r="MZU129"/>
      <c r="MZV129"/>
      <c r="MZW129"/>
      <c r="MZX129"/>
      <c r="MZY129"/>
      <c r="MZZ129"/>
      <c r="NAA129"/>
      <c r="NAB129"/>
      <c r="NAC129"/>
      <c r="NAD129"/>
      <c r="NAE129"/>
      <c r="NAF129"/>
      <c r="NAG129"/>
      <c r="NAH129"/>
      <c r="NAI129"/>
      <c r="NAJ129"/>
      <c r="NAK129"/>
      <c r="NAL129"/>
      <c r="NAM129"/>
      <c r="NAN129"/>
      <c r="NAO129"/>
      <c r="NAP129"/>
      <c r="NAQ129"/>
      <c r="NAR129"/>
      <c r="NAS129"/>
      <c r="NAT129"/>
      <c r="NAU129"/>
      <c r="NAV129"/>
      <c r="NAW129"/>
      <c r="NAX129"/>
      <c r="NAY129"/>
      <c r="NAZ129"/>
      <c r="NBA129"/>
      <c r="NBB129"/>
      <c r="NBC129"/>
      <c r="NBD129"/>
      <c r="NBE129"/>
      <c r="NBF129"/>
      <c r="NBG129"/>
      <c r="NBH129"/>
      <c r="NBI129"/>
      <c r="NBJ129"/>
      <c r="NBK129"/>
      <c r="NBL129"/>
      <c r="NBM129"/>
      <c r="NBN129"/>
      <c r="NBO129"/>
      <c r="NBP129"/>
      <c r="NBQ129"/>
      <c r="NBR129"/>
      <c r="NBS129"/>
      <c r="NBT129"/>
      <c r="NBU129"/>
      <c r="NBV129"/>
      <c r="NBW129"/>
      <c r="NBX129"/>
      <c r="NBY129"/>
      <c r="NBZ129"/>
      <c r="NCA129"/>
      <c r="NCB129"/>
      <c r="NCC129"/>
      <c r="NCD129"/>
      <c r="NCE129"/>
      <c r="NCF129"/>
      <c r="NCG129"/>
      <c r="NCH129"/>
      <c r="NCI129"/>
      <c r="NCJ129"/>
      <c r="NCK129"/>
      <c r="NCL129"/>
      <c r="NCM129"/>
      <c r="NCN129"/>
      <c r="NCO129"/>
      <c r="NCP129"/>
      <c r="NCQ129"/>
      <c r="NCR129"/>
      <c r="NCS129"/>
      <c r="NCT129"/>
      <c r="NCU129"/>
      <c r="NCV129"/>
      <c r="NCW129"/>
      <c r="NCX129"/>
      <c r="NCY129"/>
      <c r="NCZ129"/>
      <c r="NDA129"/>
      <c r="NDB129"/>
      <c r="NDC129"/>
      <c r="NDD129"/>
      <c r="NDE129"/>
      <c r="NDF129"/>
      <c r="NDG129"/>
      <c r="NDH129"/>
      <c r="NDI129"/>
      <c r="NDJ129"/>
      <c r="NDK129"/>
      <c r="NDL129"/>
      <c r="NDM129"/>
      <c r="NDN129"/>
      <c r="NDO129"/>
      <c r="NDP129"/>
      <c r="NDQ129"/>
      <c r="NDR129"/>
      <c r="NDS129"/>
      <c r="NDT129"/>
      <c r="NDU129"/>
      <c r="NDV129"/>
      <c r="NDW129"/>
      <c r="NDX129"/>
      <c r="NDY129"/>
      <c r="NDZ129"/>
      <c r="NEA129"/>
      <c r="NEB129"/>
      <c r="NEC129"/>
      <c r="NED129"/>
      <c r="NEE129"/>
      <c r="NEF129"/>
      <c r="NEG129"/>
      <c r="NEH129"/>
      <c r="NEI129"/>
      <c r="NEJ129"/>
      <c r="NEK129"/>
      <c r="NEL129"/>
      <c r="NEM129"/>
      <c r="NEN129"/>
      <c r="NEO129"/>
      <c r="NEP129"/>
      <c r="NEQ129"/>
      <c r="NER129"/>
      <c r="NES129"/>
      <c r="NET129"/>
      <c r="NEU129"/>
      <c r="NEV129"/>
      <c r="NEW129"/>
      <c r="NEX129"/>
      <c r="NEY129"/>
      <c r="NEZ129"/>
      <c r="NFA129"/>
      <c r="NFB129"/>
      <c r="NFC129"/>
      <c r="NFD129"/>
      <c r="NFE129"/>
      <c r="NFF129"/>
      <c r="NFG129"/>
      <c r="NFH129"/>
      <c r="NFI129"/>
      <c r="NFJ129"/>
      <c r="NFK129"/>
      <c r="NFL129"/>
      <c r="NFM129"/>
      <c r="NFN129"/>
      <c r="NFO129"/>
      <c r="NFP129"/>
      <c r="NFQ129"/>
      <c r="NFR129"/>
      <c r="NFS129"/>
      <c r="NFT129"/>
      <c r="NFU129"/>
      <c r="NFV129"/>
      <c r="NFW129"/>
      <c r="NFX129"/>
      <c r="NFY129"/>
      <c r="NFZ129"/>
      <c r="NGA129"/>
      <c r="NGB129"/>
      <c r="NGC129"/>
      <c r="NGD129"/>
      <c r="NGE129"/>
      <c r="NGF129"/>
      <c r="NGG129"/>
      <c r="NGH129"/>
      <c r="NGI129"/>
      <c r="NGJ129"/>
      <c r="NGK129"/>
      <c r="NGL129"/>
      <c r="NGM129"/>
      <c r="NGN129"/>
      <c r="NGO129"/>
      <c r="NGP129"/>
      <c r="NGQ129"/>
      <c r="NGR129"/>
      <c r="NGS129"/>
      <c r="NGT129"/>
      <c r="NGU129"/>
      <c r="NGV129"/>
      <c r="NGW129"/>
      <c r="NGX129"/>
      <c r="NGY129"/>
      <c r="NGZ129"/>
      <c r="NHA129"/>
      <c r="NHB129"/>
      <c r="NHC129"/>
      <c r="NHD129"/>
      <c r="NHE129"/>
      <c r="NHF129"/>
      <c r="NHG129"/>
      <c r="NHH129"/>
      <c r="NHI129"/>
      <c r="NHJ129"/>
      <c r="NHK129"/>
      <c r="NHL129"/>
      <c r="NHM129"/>
      <c r="NHN129"/>
      <c r="NHO129"/>
      <c r="NHP129"/>
      <c r="NHQ129"/>
      <c r="NHR129"/>
      <c r="NHS129"/>
      <c r="NHT129"/>
      <c r="NHU129"/>
      <c r="NHV129"/>
      <c r="NHW129"/>
      <c r="NHX129"/>
      <c r="NHY129"/>
      <c r="NHZ129"/>
      <c r="NIA129"/>
      <c r="NIB129"/>
      <c r="NIC129"/>
      <c r="NID129"/>
      <c r="NIE129"/>
      <c r="NIF129"/>
      <c r="NIG129"/>
      <c r="NIH129"/>
      <c r="NII129"/>
      <c r="NIJ129"/>
      <c r="NIK129"/>
      <c r="NIL129"/>
      <c r="NIM129"/>
      <c r="NIN129"/>
      <c r="NIO129"/>
      <c r="NIP129"/>
      <c r="NIQ129"/>
      <c r="NIR129"/>
      <c r="NIS129"/>
      <c r="NIT129"/>
      <c r="NIU129"/>
      <c r="NIV129"/>
      <c r="NIW129"/>
      <c r="NIX129"/>
      <c r="NIY129"/>
      <c r="NIZ129"/>
      <c r="NJA129"/>
      <c r="NJB129"/>
      <c r="NJC129"/>
      <c r="NJD129"/>
      <c r="NJE129"/>
      <c r="NJF129"/>
      <c r="NJG129"/>
      <c r="NJH129"/>
      <c r="NJI129"/>
      <c r="NJJ129"/>
      <c r="NJK129"/>
      <c r="NJL129"/>
      <c r="NJM129"/>
      <c r="NJN129"/>
      <c r="NJO129"/>
      <c r="NJP129"/>
      <c r="NJQ129"/>
      <c r="NJR129"/>
      <c r="NJS129"/>
      <c r="NJT129"/>
      <c r="NJU129"/>
      <c r="NJV129"/>
      <c r="NJW129"/>
      <c r="NJX129"/>
      <c r="NJY129"/>
      <c r="NJZ129"/>
      <c r="NKA129"/>
      <c r="NKB129"/>
      <c r="NKC129"/>
      <c r="NKD129"/>
      <c r="NKE129"/>
      <c r="NKF129"/>
      <c r="NKG129"/>
      <c r="NKH129"/>
      <c r="NKI129"/>
      <c r="NKJ129"/>
      <c r="NKK129"/>
      <c r="NKL129"/>
      <c r="NKM129"/>
      <c r="NKN129"/>
      <c r="NKO129"/>
      <c r="NKP129"/>
      <c r="NKQ129"/>
      <c r="NKR129"/>
      <c r="NKS129"/>
      <c r="NKT129"/>
      <c r="NKU129"/>
      <c r="NKV129"/>
      <c r="NKW129"/>
      <c r="NKX129"/>
      <c r="NKY129"/>
      <c r="NKZ129"/>
      <c r="NLA129"/>
      <c r="NLB129"/>
      <c r="NLC129"/>
      <c r="NLD129"/>
      <c r="NLE129"/>
      <c r="NLF129"/>
      <c r="NLG129"/>
      <c r="NLH129"/>
      <c r="NLI129"/>
      <c r="NLJ129"/>
      <c r="NLK129"/>
      <c r="NLL129"/>
      <c r="NLM129"/>
      <c r="NLN129"/>
      <c r="NLO129"/>
      <c r="NLP129"/>
      <c r="NLQ129"/>
      <c r="NLR129"/>
      <c r="NLS129"/>
      <c r="NLT129"/>
      <c r="NLU129"/>
      <c r="NLV129"/>
      <c r="NLW129"/>
      <c r="NLX129"/>
      <c r="NLY129"/>
      <c r="NLZ129"/>
      <c r="NMA129"/>
      <c r="NMB129"/>
      <c r="NMC129"/>
      <c r="NMD129"/>
      <c r="NME129"/>
      <c r="NMF129"/>
      <c r="NMG129"/>
      <c r="NMH129"/>
      <c r="NMI129"/>
      <c r="NMJ129"/>
      <c r="NMK129"/>
      <c r="NML129"/>
      <c r="NMM129"/>
      <c r="NMN129"/>
      <c r="NMO129"/>
      <c r="NMP129"/>
      <c r="NMQ129"/>
      <c r="NMR129"/>
      <c r="NMS129"/>
      <c r="NMT129"/>
      <c r="NMU129"/>
      <c r="NMV129"/>
      <c r="NMW129"/>
      <c r="NMX129"/>
      <c r="NMY129"/>
      <c r="NMZ129"/>
      <c r="NNA129"/>
      <c r="NNB129"/>
      <c r="NNC129"/>
      <c r="NND129"/>
      <c r="NNE129"/>
      <c r="NNF129"/>
      <c r="NNG129"/>
      <c r="NNH129"/>
      <c r="NNI129"/>
      <c r="NNJ129"/>
      <c r="NNK129"/>
      <c r="NNL129"/>
      <c r="NNM129"/>
      <c r="NNN129"/>
      <c r="NNO129"/>
      <c r="NNP129"/>
      <c r="NNQ129"/>
      <c r="NNR129"/>
      <c r="NNS129"/>
      <c r="NNT129"/>
      <c r="NNU129"/>
      <c r="NNV129"/>
      <c r="NNW129"/>
      <c r="NNX129"/>
      <c r="NNY129"/>
      <c r="NNZ129"/>
      <c r="NOA129"/>
      <c r="NOB129"/>
      <c r="NOC129"/>
      <c r="NOD129"/>
      <c r="NOE129"/>
      <c r="NOF129"/>
      <c r="NOG129"/>
      <c r="NOH129"/>
      <c r="NOI129"/>
      <c r="NOJ129"/>
      <c r="NOK129"/>
      <c r="NOL129"/>
      <c r="NOM129"/>
      <c r="NON129"/>
      <c r="NOO129"/>
      <c r="NOP129"/>
      <c r="NOQ129"/>
      <c r="NOR129"/>
      <c r="NOS129"/>
      <c r="NOT129"/>
      <c r="NOU129"/>
      <c r="NOV129"/>
      <c r="NOW129"/>
      <c r="NOX129"/>
      <c r="NOY129"/>
      <c r="NOZ129"/>
      <c r="NPA129"/>
      <c r="NPB129"/>
      <c r="NPC129"/>
      <c r="NPD129"/>
      <c r="NPE129"/>
      <c r="NPF129"/>
      <c r="NPG129"/>
      <c r="NPH129"/>
      <c r="NPI129"/>
      <c r="NPJ129"/>
      <c r="NPK129"/>
      <c r="NPL129"/>
      <c r="NPM129"/>
      <c r="NPN129"/>
      <c r="NPO129"/>
      <c r="NPP129"/>
      <c r="NPQ129"/>
      <c r="NPR129"/>
      <c r="NPS129"/>
      <c r="NPT129"/>
      <c r="NPU129"/>
      <c r="NPV129"/>
      <c r="NPW129"/>
      <c r="NPX129"/>
      <c r="NPY129"/>
      <c r="NPZ129"/>
      <c r="NQA129"/>
      <c r="NQB129"/>
      <c r="NQC129"/>
      <c r="NQD129"/>
      <c r="NQE129"/>
      <c r="NQF129"/>
      <c r="NQG129"/>
      <c r="NQH129"/>
      <c r="NQI129"/>
      <c r="NQJ129"/>
      <c r="NQK129"/>
      <c r="NQL129"/>
      <c r="NQM129"/>
      <c r="NQN129"/>
      <c r="NQO129"/>
      <c r="NQP129"/>
      <c r="NQQ129"/>
      <c r="NQR129"/>
      <c r="NQS129"/>
      <c r="NQT129"/>
      <c r="NQU129"/>
      <c r="NQV129"/>
      <c r="NQW129"/>
      <c r="NQX129"/>
      <c r="NQY129"/>
      <c r="NQZ129"/>
      <c r="NRA129"/>
      <c r="NRB129"/>
      <c r="NRC129"/>
      <c r="NRD129"/>
      <c r="NRE129"/>
      <c r="NRF129"/>
      <c r="NRG129"/>
      <c r="NRH129"/>
      <c r="NRI129"/>
      <c r="NRJ129"/>
      <c r="NRK129"/>
      <c r="NRL129"/>
      <c r="NRM129"/>
      <c r="NRN129"/>
      <c r="NRO129"/>
      <c r="NRP129"/>
      <c r="NRQ129"/>
      <c r="NRR129"/>
      <c r="NRS129"/>
      <c r="NRT129"/>
      <c r="NRU129"/>
      <c r="NRV129"/>
      <c r="NRW129"/>
      <c r="NRX129"/>
      <c r="NRY129"/>
      <c r="NRZ129"/>
      <c r="NSA129"/>
      <c r="NSB129"/>
      <c r="NSC129"/>
      <c r="NSD129"/>
      <c r="NSE129"/>
      <c r="NSF129"/>
      <c r="NSG129"/>
      <c r="NSH129"/>
      <c r="NSI129"/>
      <c r="NSJ129"/>
      <c r="NSK129"/>
      <c r="NSL129"/>
      <c r="NSM129"/>
      <c r="NSN129"/>
      <c r="NSO129"/>
      <c r="NSP129"/>
      <c r="NSQ129"/>
      <c r="NSR129"/>
      <c r="NSS129"/>
      <c r="NST129"/>
      <c r="NSU129"/>
      <c r="NSV129"/>
      <c r="NSW129"/>
      <c r="NSX129"/>
      <c r="NSY129"/>
      <c r="NSZ129"/>
      <c r="NTA129"/>
      <c r="NTB129"/>
      <c r="NTC129"/>
      <c r="NTD129"/>
      <c r="NTE129"/>
      <c r="NTF129"/>
      <c r="NTG129"/>
      <c r="NTH129"/>
      <c r="NTI129"/>
      <c r="NTJ129"/>
      <c r="NTK129"/>
      <c r="NTL129"/>
      <c r="NTM129"/>
      <c r="NTN129"/>
      <c r="NTO129"/>
      <c r="NTP129"/>
      <c r="NTQ129"/>
      <c r="NTR129"/>
      <c r="NTS129"/>
      <c r="NTT129"/>
      <c r="NTU129"/>
      <c r="NTV129"/>
      <c r="NTW129"/>
      <c r="NTX129"/>
      <c r="NTY129"/>
      <c r="NTZ129"/>
      <c r="NUA129"/>
      <c r="NUB129"/>
      <c r="NUC129"/>
      <c r="NUD129"/>
      <c r="NUE129"/>
      <c r="NUF129"/>
      <c r="NUG129"/>
      <c r="NUH129"/>
      <c r="NUI129"/>
      <c r="NUJ129"/>
      <c r="NUK129"/>
      <c r="NUL129"/>
      <c r="NUM129"/>
      <c r="NUN129"/>
      <c r="NUO129"/>
      <c r="NUP129"/>
      <c r="NUQ129"/>
      <c r="NUR129"/>
      <c r="NUS129"/>
      <c r="NUT129"/>
      <c r="NUU129"/>
      <c r="NUV129"/>
      <c r="NUW129"/>
      <c r="NUX129"/>
      <c r="NUY129"/>
      <c r="NUZ129"/>
      <c r="NVA129"/>
      <c r="NVB129"/>
      <c r="NVC129"/>
      <c r="NVD129"/>
      <c r="NVE129"/>
      <c r="NVF129"/>
      <c r="NVG129"/>
      <c r="NVH129"/>
      <c r="NVI129"/>
      <c r="NVJ129"/>
      <c r="NVK129"/>
      <c r="NVL129"/>
      <c r="NVM129"/>
      <c r="NVN129"/>
      <c r="NVO129"/>
      <c r="NVP129"/>
      <c r="NVQ129"/>
      <c r="NVR129"/>
      <c r="NVS129"/>
      <c r="NVT129"/>
      <c r="NVU129"/>
      <c r="NVV129"/>
      <c r="NVW129"/>
      <c r="NVX129"/>
      <c r="NVY129"/>
      <c r="NVZ129"/>
      <c r="NWA129"/>
      <c r="NWB129"/>
      <c r="NWC129"/>
      <c r="NWD129"/>
      <c r="NWE129"/>
      <c r="NWF129"/>
      <c r="NWG129"/>
      <c r="NWH129"/>
      <c r="NWI129"/>
      <c r="NWJ129"/>
      <c r="NWK129"/>
      <c r="NWL129"/>
      <c r="NWM129"/>
      <c r="NWN129"/>
      <c r="NWO129"/>
      <c r="NWP129"/>
      <c r="NWQ129"/>
      <c r="NWR129"/>
      <c r="NWS129"/>
      <c r="NWT129"/>
      <c r="NWU129"/>
      <c r="NWV129"/>
      <c r="NWW129"/>
      <c r="NWX129"/>
      <c r="NWY129"/>
      <c r="NWZ129"/>
      <c r="NXA129"/>
      <c r="NXB129"/>
      <c r="NXC129"/>
      <c r="NXD129"/>
      <c r="NXE129"/>
      <c r="NXF129"/>
      <c r="NXG129"/>
      <c r="NXH129"/>
      <c r="NXI129"/>
      <c r="NXJ129"/>
      <c r="NXK129"/>
      <c r="NXL129"/>
      <c r="NXM129"/>
      <c r="NXN129"/>
      <c r="NXO129"/>
      <c r="NXP129"/>
      <c r="NXQ129"/>
      <c r="NXR129"/>
      <c r="NXS129"/>
      <c r="NXT129"/>
      <c r="NXU129"/>
      <c r="NXV129"/>
      <c r="NXW129"/>
      <c r="NXX129"/>
      <c r="NXY129"/>
      <c r="NXZ129"/>
      <c r="NYA129"/>
      <c r="NYB129"/>
      <c r="NYC129"/>
      <c r="NYD129"/>
      <c r="NYE129"/>
      <c r="NYF129"/>
      <c r="NYG129"/>
      <c r="NYH129"/>
      <c r="NYI129"/>
      <c r="NYJ129"/>
      <c r="NYK129"/>
      <c r="NYL129"/>
      <c r="NYM129"/>
      <c r="NYN129"/>
      <c r="NYO129"/>
      <c r="NYP129"/>
      <c r="NYQ129"/>
      <c r="NYR129"/>
      <c r="NYS129"/>
      <c r="NYT129"/>
      <c r="NYU129"/>
      <c r="NYV129"/>
      <c r="NYW129"/>
      <c r="NYX129"/>
      <c r="NYY129"/>
      <c r="NYZ129"/>
      <c r="NZA129"/>
      <c r="NZB129"/>
      <c r="NZC129"/>
      <c r="NZD129"/>
      <c r="NZE129"/>
      <c r="NZF129"/>
      <c r="NZG129"/>
      <c r="NZH129"/>
      <c r="NZI129"/>
      <c r="NZJ129"/>
      <c r="NZK129"/>
      <c r="NZL129"/>
      <c r="NZM129"/>
      <c r="NZN129"/>
      <c r="NZO129"/>
      <c r="NZP129"/>
      <c r="NZQ129"/>
      <c r="NZR129"/>
      <c r="NZS129"/>
      <c r="NZT129"/>
      <c r="NZU129"/>
      <c r="NZV129"/>
      <c r="NZW129"/>
      <c r="NZX129"/>
      <c r="NZY129"/>
      <c r="NZZ129"/>
      <c r="OAA129"/>
      <c r="OAB129"/>
      <c r="OAC129"/>
      <c r="OAD129"/>
      <c r="OAE129"/>
      <c r="OAF129"/>
      <c r="OAG129"/>
      <c r="OAH129"/>
      <c r="OAI129"/>
      <c r="OAJ129"/>
      <c r="OAK129"/>
      <c r="OAL129"/>
      <c r="OAM129"/>
      <c r="OAN129"/>
      <c r="OAO129"/>
      <c r="OAP129"/>
      <c r="OAQ129"/>
      <c r="OAR129"/>
      <c r="OAS129"/>
      <c r="OAT129"/>
      <c r="OAU129"/>
      <c r="OAV129"/>
      <c r="OAW129"/>
      <c r="OAX129"/>
      <c r="OAY129"/>
      <c r="OAZ129"/>
      <c r="OBA129"/>
      <c r="OBB129"/>
      <c r="OBC129"/>
      <c r="OBD129"/>
      <c r="OBE129"/>
      <c r="OBF129"/>
      <c r="OBG129"/>
      <c r="OBH129"/>
      <c r="OBI129"/>
      <c r="OBJ129"/>
      <c r="OBK129"/>
      <c r="OBL129"/>
      <c r="OBM129"/>
      <c r="OBN129"/>
      <c r="OBO129"/>
      <c r="OBP129"/>
      <c r="OBQ129"/>
      <c r="OBR129"/>
      <c r="OBS129"/>
      <c r="OBT129"/>
      <c r="OBU129"/>
      <c r="OBV129"/>
      <c r="OBW129"/>
      <c r="OBX129"/>
      <c r="OBY129"/>
      <c r="OBZ129"/>
      <c r="OCA129"/>
      <c r="OCB129"/>
      <c r="OCC129"/>
      <c r="OCD129"/>
      <c r="OCE129"/>
      <c r="OCF129"/>
      <c r="OCG129"/>
      <c r="OCH129"/>
      <c r="OCI129"/>
      <c r="OCJ129"/>
      <c r="OCK129"/>
      <c r="OCL129"/>
      <c r="OCM129"/>
      <c r="OCN129"/>
      <c r="OCO129"/>
      <c r="OCP129"/>
      <c r="OCQ129"/>
      <c r="OCR129"/>
      <c r="OCS129"/>
      <c r="OCT129"/>
      <c r="OCU129"/>
      <c r="OCV129"/>
      <c r="OCW129"/>
      <c r="OCX129"/>
      <c r="OCY129"/>
      <c r="OCZ129"/>
      <c r="ODA129"/>
      <c r="ODB129"/>
      <c r="ODC129"/>
      <c r="ODD129"/>
      <c r="ODE129"/>
      <c r="ODF129"/>
      <c r="ODG129"/>
      <c r="ODH129"/>
      <c r="ODI129"/>
      <c r="ODJ129"/>
      <c r="ODK129"/>
      <c r="ODL129"/>
      <c r="ODM129"/>
      <c r="ODN129"/>
      <c r="ODO129"/>
      <c r="ODP129"/>
      <c r="ODQ129"/>
      <c r="ODR129"/>
      <c r="ODS129"/>
      <c r="ODT129"/>
      <c r="ODU129"/>
      <c r="ODV129"/>
      <c r="ODW129"/>
      <c r="ODX129"/>
      <c r="ODY129"/>
      <c r="ODZ129"/>
      <c r="OEA129"/>
      <c r="OEB129"/>
      <c r="OEC129"/>
      <c r="OED129"/>
      <c r="OEE129"/>
      <c r="OEF129"/>
      <c r="OEG129"/>
      <c r="OEH129"/>
      <c r="OEI129"/>
      <c r="OEJ129"/>
      <c r="OEK129"/>
      <c r="OEL129"/>
      <c r="OEM129"/>
      <c r="OEN129"/>
      <c r="OEO129"/>
      <c r="OEP129"/>
      <c r="OEQ129"/>
      <c r="OER129"/>
      <c r="OES129"/>
      <c r="OET129"/>
      <c r="OEU129"/>
      <c r="OEV129"/>
      <c r="OEW129"/>
      <c r="OEX129"/>
      <c r="OEY129"/>
      <c r="OEZ129"/>
      <c r="OFA129"/>
      <c r="OFB129"/>
      <c r="OFC129"/>
      <c r="OFD129"/>
      <c r="OFE129"/>
      <c r="OFF129"/>
      <c r="OFG129"/>
      <c r="OFH129"/>
      <c r="OFI129"/>
      <c r="OFJ129"/>
      <c r="OFK129"/>
      <c r="OFL129"/>
      <c r="OFM129"/>
      <c r="OFN129"/>
      <c r="OFO129"/>
      <c r="OFP129"/>
      <c r="OFQ129"/>
      <c r="OFR129"/>
      <c r="OFS129"/>
      <c r="OFT129"/>
      <c r="OFU129"/>
      <c r="OFV129"/>
      <c r="OFW129"/>
      <c r="OFX129"/>
      <c r="OFY129"/>
      <c r="OFZ129"/>
      <c r="OGA129"/>
      <c r="OGB129"/>
      <c r="OGC129"/>
      <c r="OGD129"/>
      <c r="OGE129"/>
      <c r="OGF129"/>
      <c r="OGG129"/>
      <c r="OGH129"/>
      <c r="OGI129"/>
      <c r="OGJ129"/>
      <c r="OGK129"/>
      <c r="OGL129"/>
      <c r="OGM129"/>
      <c r="OGN129"/>
      <c r="OGO129"/>
      <c r="OGP129"/>
      <c r="OGQ129"/>
      <c r="OGR129"/>
      <c r="OGS129"/>
      <c r="OGT129"/>
      <c r="OGU129"/>
      <c r="OGV129"/>
      <c r="OGW129"/>
      <c r="OGX129"/>
      <c r="OGY129"/>
      <c r="OGZ129"/>
      <c r="OHA129"/>
      <c r="OHB129"/>
      <c r="OHC129"/>
      <c r="OHD129"/>
      <c r="OHE129"/>
      <c r="OHF129"/>
      <c r="OHG129"/>
      <c r="OHH129"/>
      <c r="OHI129"/>
      <c r="OHJ129"/>
      <c r="OHK129"/>
      <c r="OHL129"/>
      <c r="OHM129"/>
      <c r="OHN129"/>
      <c r="OHO129"/>
      <c r="OHP129"/>
      <c r="OHQ129"/>
      <c r="OHR129"/>
      <c r="OHS129"/>
      <c r="OHT129"/>
      <c r="OHU129"/>
      <c r="OHV129"/>
      <c r="OHW129"/>
      <c r="OHX129"/>
      <c r="OHY129"/>
      <c r="OHZ129"/>
      <c r="OIA129"/>
      <c r="OIB129"/>
      <c r="OIC129"/>
      <c r="OID129"/>
      <c r="OIE129"/>
      <c r="OIF129"/>
      <c r="OIG129"/>
      <c r="OIH129"/>
      <c r="OII129"/>
      <c r="OIJ129"/>
      <c r="OIK129"/>
      <c r="OIL129"/>
      <c r="OIM129"/>
      <c r="OIN129"/>
      <c r="OIO129"/>
      <c r="OIP129"/>
      <c r="OIQ129"/>
      <c r="OIR129"/>
      <c r="OIS129"/>
      <c r="OIT129"/>
      <c r="OIU129"/>
      <c r="OIV129"/>
      <c r="OIW129"/>
      <c r="OIX129"/>
      <c r="OIY129"/>
      <c r="OIZ129"/>
      <c r="OJA129"/>
      <c r="OJB129"/>
      <c r="OJC129"/>
      <c r="OJD129"/>
      <c r="OJE129"/>
      <c r="OJF129"/>
      <c r="OJG129"/>
      <c r="OJH129"/>
      <c r="OJI129"/>
      <c r="OJJ129"/>
      <c r="OJK129"/>
      <c r="OJL129"/>
      <c r="OJM129"/>
      <c r="OJN129"/>
      <c r="OJO129"/>
      <c r="OJP129"/>
      <c r="OJQ129"/>
      <c r="OJR129"/>
      <c r="OJS129"/>
      <c r="OJT129"/>
      <c r="OJU129"/>
      <c r="OJV129"/>
      <c r="OJW129"/>
      <c r="OJX129"/>
      <c r="OJY129"/>
      <c r="OJZ129"/>
      <c r="OKA129"/>
      <c r="OKB129"/>
      <c r="OKC129"/>
      <c r="OKD129"/>
      <c r="OKE129"/>
      <c r="OKF129"/>
      <c r="OKG129"/>
      <c r="OKH129"/>
      <c r="OKI129"/>
      <c r="OKJ129"/>
      <c r="OKK129"/>
      <c r="OKL129"/>
      <c r="OKM129"/>
      <c r="OKN129"/>
      <c r="OKO129"/>
      <c r="OKP129"/>
      <c r="OKQ129"/>
      <c r="OKR129"/>
      <c r="OKS129"/>
      <c r="OKT129"/>
      <c r="OKU129"/>
      <c r="OKV129"/>
      <c r="OKW129"/>
      <c r="OKX129"/>
      <c r="OKY129"/>
      <c r="OKZ129"/>
      <c r="OLA129"/>
      <c r="OLB129"/>
      <c r="OLC129"/>
      <c r="OLD129"/>
      <c r="OLE129"/>
      <c r="OLF129"/>
      <c r="OLG129"/>
      <c r="OLH129"/>
      <c r="OLI129"/>
      <c r="OLJ129"/>
      <c r="OLK129"/>
      <c r="OLL129"/>
      <c r="OLM129"/>
      <c r="OLN129"/>
      <c r="OLO129"/>
      <c r="OLP129"/>
      <c r="OLQ129"/>
      <c r="OLR129"/>
      <c r="OLS129"/>
      <c r="OLT129"/>
      <c r="OLU129"/>
      <c r="OLV129"/>
      <c r="OLW129"/>
      <c r="OLX129"/>
      <c r="OLY129"/>
      <c r="OLZ129"/>
      <c r="OMA129"/>
      <c r="OMB129"/>
      <c r="OMC129"/>
      <c r="OMD129"/>
      <c r="OME129"/>
      <c r="OMF129"/>
      <c r="OMG129"/>
      <c r="OMH129"/>
      <c r="OMI129"/>
      <c r="OMJ129"/>
      <c r="OMK129"/>
      <c r="OML129"/>
      <c r="OMM129"/>
      <c r="OMN129"/>
      <c r="OMO129"/>
      <c r="OMP129"/>
      <c r="OMQ129"/>
      <c r="OMR129"/>
      <c r="OMS129"/>
      <c r="OMT129"/>
      <c r="OMU129"/>
      <c r="OMV129"/>
      <c r="OMW129"/>
      <c r="OMX129"/>
      <c r="OMY129"/>
      <c r="OMZ129"/>
      <c r="ONA129"/>
      <c r="ONB129"/>
      <c r="ONC129"/>
      <c r="OND129"/>
      <c r="ONE129"/>
      <c r="ONF129"/>
      <c r="ONG129"/>
      <c r="ONH129"/>
      <c r="ONI129"/>
      <c r="ONJ129"/>
      <c r="ONK129"/>
      <c r="ONL129"/>
      <c r="ONM129"/>
      <c r="ONN129"/>
      <c r="ONO129"/>
      <c r="ONP129"/>
      <c r="ONQ129"/>
      <c r="ONR129"/>
      <c r="ONS129"/>
      <c r="ONT129"/>
      <c r="ONU129"/>
      <c r="ONV129"/>
      <c r="ONW129"/>
      <c r="ONX129"/>
      <c r="ONY129"/>
      <c r="ONZ129"/>
      <c r="OOA129"/>
      <c r="OOB129"/>
      <c r="OOC129"/>
      <c r="OOD129"/>
      <c r="OOE129"/>
      <c r="OOF129"/>
      <c r="OOG129"/>
      <c r="OOH129"/>
      <c r="OOI129"/>
      <c r="OOJ129"/>
      <c r="OOK129"/>
      <c r="OOL129"/>
      <c r="OOM129"/>
      <c r="OON129"/>
      <c r="OOO129"/>
      <c r="OOP129"/>
      <c r="OOQ129"/>
      <c r="OOR129"/>
      <c r="OOS129"/>
      <c r="OOT129"/>
      <c r="OOU129"/>
      <c r="OOV129"/>
      <c r="OOW129"/>
      <c r="OOX129"/>
      <c r="OOY129"/>
      <c r="OOZ129"/>
      <c r="OPA129"/>
      <c r="OPB129"/>
      <c r="OPC129"/>
      <c r="OPD129"/>
      <c r="OPE129"/>
      <c r="OPF129"/>
      <c r="OPG129"/>
      <c r="OPH129"/>
      <c r="OPI129"/>
      <c r="OPJ129"/>
      <c r="OPK129"/>
      <c r="OPL129"/>
      <c r="OPM129"/>
      <c r="OPN129"/>
      <c r="OPO129"/>
      <c r="OPP129"/>
      <c r="OPQ129"/>
      <c r="OPR129"/>
      <c r="OPS129"/>
      <c r="OPT129"/>
      <c r="OPU129"/>
      <c r="OPV129"/>
      <c r="OPW129"/>
      <c r="OPX129"/>
      <c r="OPY129"/>
      <c r="OPZ129"/>
      <c r="OQA129"/>
      <c r="OQB129"/>
      <c r="OQC129"/>
      <c r="OQD129"/>
      <c r="OQE129"/>
      <c r="OQF129"/>
      <c r="OQG129"/>
      <c r="OQH129"/>
      <c r="OQI129"/>
      <c r="OQJ129"/>
      <c r="OQK129"/>
      <c r="OQL129"/>
      <c r="OQM129"/>
      <c r="OQN129"/>
      <c r="OQO129"/>
      <c r="OQP129"/>
      <c r="OQQ129"/>
      <c r="OQR129"/>
      <c r="OQS129"/>
      <c r="OQT129"/>
      <c r="OQU129"/>
      <c r="OQV129"/>
      <c r="OQW129"/>
      <c r="OQX129"/>
      <c r="OQY129"/>
      <c r="OQZ129"/>
      <c r="ORA129"/>
      <c r="ORB129"/>
      <c r="ORC129"/>
      <c r="ORD129"/>
      <c r="ORE129"/>
      <c r="ORF129"/>
      <c r="ORG129"/>
      <c r="ORH129"/>
      <c r="ORI129"/>
      <c r="ORJ129"/>
      <c r="ORK129"/>
      <c r="ORL129"/>
      <c r="ORM129"/>
      <c r="ORN129"/>
      <c r="ORO129"/>
      <c r="ORP129"/>
      <c r="ORQ129"/>
      <c r="ORR129"/>
      <c r="ORS129"/>
      <c r="ORT129"/>
      <c r="ORU129"/>
      <c r="ORV129"/>
      <c r="ORW129"/>
      <c r="ORX129"/>
      <c r="ORY129"/>
      <c r="ORZ129"/>
      <c r="OSA129"/>
      <c r="OSB129"/>
      <c r="OSC129"/>
      <c r="OSD129"/>
      <c r="OSE129"/>
      <c r="OSF129"/>
      <c r="OSG129"/>
      <c r="OSH129"/>
      <c r="OSI129"/>
      <c r="OSJ129"/>
      <c r="OSK129"/>
      <c r="OSL129"/>
      <c r="OSM129"/>
      <c r="OSN129"/>
      <c r="OSO129"/>
      <c r="OSP129"/>
      <c r="OSQ129"/>
      <c r="OSR129"/>
      <c r="OSS129"/>
      <c r="OST129"/>
      <c r="OSU129"/>
      <c r="OSV129"/>
      <c r="OSW129"/>
      <c r="OSX129"/>
      <c r="OSY129"/>
      <c r="OSZ129"/>
      <c r="OTA129"/>
      <c r="OTB129"/>
      <c r="OTC129"/>
      <c r="OTD129"/>
      <c r="OTE129"/>
      <c r="OTF129"/>
      <c r="OTG129"/>
      <c r="OTH129"/>
      <c r="OTI129"/>
      <c r="OTJ129"/>
      <c r="OTK129"/>
      <c r="OTL129"/>
      <c r="OTM129"/>
      <c r="OTN129"/>
      <c r="OTO129"/>
      <c r="OTP129"/>
      <c r="OTQ129"/>
      <c r="OTR129"/>
      <c r="OTS129"/>
      <c r="OTT129"/>
      <c r="OTU129"/>
      <c r="OTV129"/>
      <c r="OTW129"/>
      <c r="OTX129"/>
      <c r="OTY129"/>
      <c r="OTZ129"/>
      <c r="OUA129"/>
      <c r="OUB129"/>
      <c r="OUC129"/>
      <c r="OUD129"/>
      <c r="OUE129"/>
      <c r="OUF129"/>
      <c r="OUG129"/>
      <c r="OUH129"/>
      <c r="OUI129"/>
      <c r="OUJ129"/>
      <c r="OUK129"/>
      <c r="OUL129"/>
      <c r="OUM129"/>
      <c r="OUN129"/>
      <c r="OUO129"/>
      <c r="OUP129"/>
      <c r="OUQ129"/>
      <c r="OUR129"/>
      <c r="OUS129"/>
      <c r="OUT129"/>
      <c r="OUU129"/>
      <c r="OUV129"/>
      <c r="OUW129"/>
      <c r="OUX129"/>
      <c r="OUY129"/>
      <c r="OUZ129"/>
      <c r="OVA129"/>
      <c r="OVB129"/>
      <c r="OVC129"/>
      <c r="OVD129"/>
      <c r="OVE129"/>
      <c r="OVF129"/>
      <c r="OVG129"/>
      <c r="OVH129"/>
      <c r="OVI129"/>
      <c r="OVJ129"/>
      <c r="OVK129"/>
      <c r="OVL129"/>
      <c r="OVM129"/>
      <c r="OVN129"/>
      <c r="OVO129"/>
      <c r="OVP129"/>
      <c r="OVQ129"/>
      <c r="OVR129"/>
      <c r="OVS129"/>
      <c r="OVT129"/>
      <c r="OVU129"/>
      <c r="OVV129"/>
      <c r="OVW129"/>
      <c r="OVX129"/>
      <c r="OVY129"/>
      <c r="OVZ129"/>
      <c r="OWA129"/>
      <c r="OWB129"/>
      <c r="OWC129"/>
      <c r="OWD129"/>
      <c r="OWE129"/>
      <c r="OWF129"/>
      <c r="OWG129"/>
      <c r="OWH129"/>
      <c r="OWI129"/>
      <c r="OWJ129"/>
      <c r="OWK129"/>
      <c r="OWL129"/>
      <c r="OWM129"/>
      <c r="OWN129"/>
      <c r="OWO129"/>
      <c r="OWP129"/>
      <c r="OWQ129"/>
      <c r="OWR129"/>
      <c r="OWS129"/>
      <c r="OWT129"/>
      <c r="OWU129"/>
      <c r="OWV129"/>
      <c r="OWW129"/>
      <c r="OWX129"/>
      <c r="OWY129"/>
      <c r="OWZ129"/>
      <c r="OXA129"/>
      <c r="OXB129"/>
      <c r="OXC129"/>
      <c r="OXD129"/>
      <c r="OXE129"/>
      <c r="OXF129"/>
      <c r="OXG129"/>
      <c r="OXH129"/>
      <c r="OXI129"/>
      <c r="OXJ129"/>
      <c r="OXK129"/>
      <c r="OXL129"/>
      <c r="OXM129"/>
      <c r="OXN129"/>
      <c r="OXO129"/>
      <c r="OXP129"/>
      <c r="OXQ129"/>
      <c r="OXR129"/>
      <c r="OXS129"/>
      <c r="OXT129"/>
      <c r="OXU129"/>
      <c r="OXV129"/>
      <c r="OXW129"/>
      <c r="OXX129"/>
      <c r="OXY129"/>
      <c r="OXZ129"/>
      <c r="OYA129"/>
      <c r="OYB129"/>
      <c r="OYC129"/>
      <c r="OYD129"/>
      <c r="OYE129"/>
      <c r="OYF129"/>
      <c r="OYG129"/>
      <c r="OYH129"/>
      <c r="OYI129"/>
      <c r="OYJ129"/>
      <c r="OYK129"/>
      <c r="OYL129"/>
      <c r="OYM129"/>
      <c r="OYN129"/>
      <c r="OYO129"/>
      <c r="OYP129"/>
      <c r="OYQ129"/>
      <c r="OYR129"/>
      <c r="OYS129"/>
      <c r="OYT129"/>
      <c r="OYU129"/>
      <c r="OYV129"/>
      <c r="OYW129"/>
      <c r="OYX129"/>
      <c r="OYY129"/>
      <c r="OYZ129"/>
      <c r="OZA129"/>
      <c r="OZB129"/>
      <c r="OZC129"/>
      <c r="OZD129"/>
      <c r="OZE129"/>
      <c r="OZF129"/>
      <c r="OZG129"/>
      <c r="OZH129"/>
      <c r="OZI129"/>
      <c r="OZJ129"/>
      <c r="OZK129"/>
      <c r="OZL129"/>
      <c r="OZM129"/>
      <c r="OZN129"/>
      <c r="OZO129"/>
      <c r="OZP129"/>
      <c r="OZQ129"/>
      <c r="OZR129"/>
      <c r="OZS129"/>
      <c r="OZT129"/>
      <c r="OZU129"/>
      <c r="OZV129"/>
      <c r="OZW129"/>
      <c r="OZX129"/>
      <c r="OZY129"/>
      <c r="OZZ129"/>
      <c r="PAA129"/>
      <c r="PAB129"/>
      <c r="PAC129"/>
      <c r="PAD129"/>
      <c r="PAE129"/>
      <c r="PAF129"/>
      <c r="PAG129"/>
      <c r="PAH129"/>
      <c r="PAI129"/>
      <c r="PAJ129"/>
      <c r="PAK129"/>
      <c r="PAL129"/>
      <c r="PAM129"/>
      <c r="PAN129"/>
      <c r="PAO129"/>
      <c r="PAP129"/>
      <c r="PAQ129"/>
      <c r="PAR129"/>
      <c r="PAS129"/>
      <c r="PAT129"/>
      <c r="PAU129"/>
      <c r="PAV129"/>
      <c r="PAW129"/>
      <c r="PAX129"/>
      <c r="PAY129"/>
      <c r="PAZ129"/>
      <c r="PBA129"/>
      <c r="PBB129"/>
      <c r="PBC129"/>
      <c r="PBD129"/>
      <c r="PBE129"/>
      <c r="PBF129"/>
      <c r="PBG129"/>
      <c r="PBH129"/>
      <c r="PBI129"/>
      <c r="PBJ129"/>
      <c r="PBK129"/>
      <c r="PBL129"/>
      <c r="PBM129"/>
      <c r="PBN129"/>
      <c r="PBO129"/>
      <c r="PBP129"/>
      <c r="PBQ129"/>
      <c r="PBR129"/>
      <c r="PBS129"/>
      <c r="PBT129"/>
      <c r="PBU129"/>
      <c r="PBV129"/>
      <c r="PBW129"/>
      <c r="PBX129"/>
      <c r="PBY129"/>
      <c r="PBZ129"/>
      <c r="PCA129"/>
      <c r="PCB129"/>
      <c r="PCC129"/>
      <c r="PCD129"/>
      <c r="PCE129"/>
      <c r="PCF129"/>
      <c r="PCG129"/>
      <c r="PCH129"/>
      <c r="PCI129"/>
      <c r="PCJ129"/>
      <c r="PCK129"/>
      <c r="PCL129"/>
      <c r="PCM129"/>
      <c r="PCN129"/>
      <c r="PCO129"/>
      <c r="PCP129"/>
      <c r="PCQ129"/>
      <c r="PCR129"/>
      <c r="PCS129"/>
      <c r="PCT129"/>
      <c r="PCU129"/>
      <c r="PCV129"/>
      <c r="PCW129"/>
      <c r="PCX129"/>
      <c r="PCY129"/>
      <c r="PCZ129"/>
      <c r="PDA129"/>
      <c r="PDB129"/>
      <c r="PDC129"/>
      <c r="PDD129"/>
      <c r="PDE129"/>
      <c r="PDF129"/>
      <c r="PDG129"/>
      <c r="PDH129"/>
      <c r="PDI129"/>
      <c r="PDJ129"/>
      <c r="PDK129"/>
      <c r="PDL129"/>
      <c r="PDM129"/>
      <c r="PDN129"/>
      <c r="PDO129"/>
      <c r="PDP129"/>
      <c r="PDQ129"/>
      <c r="PDR129"/>
      <c r="PDS129"/>
      <c r="PDT129"/>
      <c r="PDU129"/>
      <c r="PDV129"/>
      <c r="PDW129"/>
      <c r="PDX129"/>
      <c r="PDY129"/>
      <c r="PDZ129"/>
      <c r="PEA129"/>
      <c r="PEB129"/>
      <c r="PEC129"/>
      <c r="PED129"/>
      <c r="PEE129"/>
      <c r="PEF129"/>
      <c r="PEG129"/>
      <c r="PEH129"/>
      <c r="PEI129"/>
      <c r="PEJ129"/>
      <c r="PEK129"/>
      <c r="PEL129"/>
      <c r="PEM129"/>
      <c r="PEN129"/>
      <c r="PEO129"/>
      <c r="PEP129"/>
      <c r="PEQ129"/>
      <c r="PER129"/>
      <c r="PES129"/>
      <c r="PET129"/>
      <c r="PEU129"/>
      <c r="PEV129"/>
      <c r="PEW129"/>
      <c r="PEX129"/>
      <c r="PEY129"/>
      <c r="PEZ129"/>
      <c r="PFA129"/>
      <c r="PFB129"/>
      <c r="PFC129"/>
      <c r="PFD129"/>
      <c r="PFE129"/>
      <c r="PFF129"/>
      <c r="PFG129"/>
      <c r="PFH129"/>
      <c r="PFI129"/>
      <c r="PFJ129"/>
      <c r="PFK129"/>
      <c r="PFL129"/>
      <c r="PFM129"/>
      <c r="PFN129"/>
      <c r="PFO129"/>
      <c r="PFP129"/>
      <c r="PFQ129"/>
      <c r="PFR129"/>
      <c r="PFS129"/>
      <c r="PFT129"/>
      <c r="PFU129"/>
      <c r="PFV129"/>
      <c r="PFW129"/>
      <c r="PFX129"/>
      <c r="PFY129"/>
      <c r="PFZ129"/>
      <c r="PGA129"/>
      <c r="PGB129"/>
      <c r="PGC129"/>
      <c r="PGD129"/>
      <c r="PGE129"/>
      <c r="PGF129"/>
      <c r="PGG129"/>
      <c r="PGH129"/>
      <c r="PGI129"/>
      <c r="PGJ129"/>
      <c r="PGK129"/>
      <c r="PGL129"/>
      <c r="PGM129"/>
      <c r="PGN129"/>
      <c r="PGO129"/>
      <c r="PGP129"/>
      <c r="PGQ129"/>
      <c r="PGR129"/>
      <c r="PGS129"/>
      <c r="PGT129"/>
      <c r="PGU129"/>
      <c r="PGV129"/>
      <c r="PGW129"/>
      <c r="PGX129"/>
      <c r="PGY129"/>
      <c r="PGZ129"/>
      <c r="PHA129"/>
      <c r="PHB129"/>
      <c r="PHC129"/>
      <c r="PHD129"/>
      <c r="PHE129"/>
      <c r="PHF129"/>
      <c r="PHG129"/>
      <c r="PHH129"/>
      <c r="PHI129"/>
      <c r="PHJ129"/>
      <c r="PHK129"/>
      <c r="PHL129"/>
      <c r="PHM129"/>
      <c r="PHN129"/>
      <c r="PHO129"/>
      <c r="PHP129"/>
      <c r="PHQ129"/>
      <c r="PHR129"/>
      <c r="PHS129"/>
      <c r="PHT129"/>
      <c r="PHU129"/>
      <c r="PHV129"/>
      <c r="PHW129"/>
      <c r="PHX129"/>
      <c r="PHY129"/>
      <c r="PHZ129"/>
      <c r="PIA129"/>
      <c r="PIB129"/>
      <c r="PIC129"/>
      <c r="PID129"/>
      <c r="PIE129"/>
      <c r="PIF129"/>
      <c r="PIG129"/>
      <c r="PIH129"/>
      <c r="PII129"/>
      <c r="PIJ129"/>
      <c r="PIK129"/>
      <c r="PIL129"/>
      <c r="PIM129"/>
      <c r="PIN129"/>
      <c r="PIO129"/>
      <c r="PIP129"/>
      <c r="PIQ129"/>
      <c r="PIR129"/>
      <c r="PIS129"/>
      <c r="PIT129"/>
      <c r="PIU129"/>
      <c r="PIV129"/>
      <c r="PIW129"/>
      <c r="PIX129"/>
      <c r="PIY129"/>
      <c r="PIZ129"/>
      <c r="PJA129"/>
      <c r="PJB129"/>
      <c r="PJC129"/>
      <c r="PJD129"/>
      <c r="PJE129"/>
      <c r="PJF129"/>
      <c r="PJG129"/>
      <c r="PJH129"/>
      <c r="PJI129"/>
      <c r="PJJ129"/>
      <c r="PJK129"/>
      <c r="PJL129"/>
      <c r="PJM129"/>
      <c r="PJN129"/>
      <c r="PJO129"/>
      <c r="PJP129"/>
      <c r="PJQ129"/>
      <c r="PJR129"/>
      <c r="PJS129"/>
      <c r="PJT129"/>
      <c r="PJU129"/>
      <c r="PJV129"/>
      <c r="PJW129"/>
      <c r="PJX129"/>
      <c r="PJY129"/>
      <c r="PJZ129"/>
      <c r="PKA129"/>
      <c r="PKB129"/>
      <c r="PKC129"/>
      <c r="PKD129"/>
      <c r="PKE129"/>
      <c r="PKF129"/>
      <c r="PKG129"/>
      <c r="PKH129"/>
      <c r="PKI129"/>
      <c r="PKJ129"/>
      <c r="PKK129"/>
      <c r="PKL129"/>
      <c r="PKM129"/>
      <c r="PKN129"/>
      <c r="PKO129"/>
      <c r="PKP129"/>
      <c r="PKQ129"/>
      <c r="PKR129"/>
      <c r="PKS129"/>
      <c r="PKT129"/>
      <c r="PKU129"/>
      <c r="PKV129"/>
      <c r="PKW129"/>
      <c r="PKX129"/>
      <c r="PKY129"/>
      <c r="PKZ129"/>
      <c r="PLA129"/>
      <c r="PLB129"/>
      <c r="PLC129"/>
      <c r="PLD129"/>
      <c r="PLE129"/>
      <c r="PLF129"/>
      <c r="PLG129"/>
      <c r="PLH129"/>
      <c r="PLI129"/>
      <c r="PLJ129"/>
      <c r="PLK129"/>
      <c r="PLL129"/>
      <c r="PLM129"/>
      <c r="PLN129"/>
      <c r="PLO129"/>
      <c r="PLP129"/>
      <c r="PLQ129"/>
      <c r="PLR129"/>
      <c r="PLS129"/>
      <c r="PLT129"/>
      <c r="PLU129"/>
      <c r="PLV129"/>
      <c r="PLW129"/>
      <c r="PLX129"/>
      <c r="PLY129"/>
      <c r="PLZ129"/>
      <c r="PMA129"/>
      <c r="PMB129"/>
      <c r="PMC129"/>
      <c r="PMD129"/>
      <c r="PME129"/>
      <c r="PMF129"/>
      <c r="PMG129"/>
      <c r="PMH129"/>
      <c r="PMI129"/>
      <c r="PMJ129"/>
      <c r="PMK129"/>
      <c r="PML129"/>
      <c r="PMM129"/>
      <c r="PMN129"/>
      <c r="PMO129"/>
      <c r="PMP129"/>
      <c r="PMQ129"/>
      <c r="PMR129"/>
      <c r="PMS129"/>
      <c r="PMT129"/>
      <c r="PMU129"/>
      <c r="PMV129"/>
      <c r="PMW129"/>
      <c r="PMX129"/>
      <c r="PMY129"/>
      <c r="PMZ129"/>
      <c r="PNA129"/>
      <c r="PNB129"/>
      <c r="PNC129"/>
      <c r="PND129"/>
      <c r="PNE129"/>
      <c r="PNF129"/>
      <c r="PNG129"/>
      <c r="PNH129"/>
      <c r="PNI129"/>
      <c r="PNJ129"/>
      <c r="PNK129"/>
      <c r="PNL129"/>
      <c r="PNM129"/>
      <c r="PNN129"/>
      <c r="PNO129"/>
      <c r="PNP129"/>
      <c r="PNQ129"/>
      <c r="PNR129"/>
      <c r="PNS129"/>
      <c r="PNT129"/>
      <c r="PNU129"/>
      <c r="PNV129"/>
      <c r="PNW129"/>
      <c r="PNX129"/>
      <c r="PNY129"/>
      <c r="PNZ129"/>
      <c r="POA129"/>
      <c r="POB129"/>
      <c r="POC129"/>
      <c r="POD129"/>
      <c r="POE129"/>
      <c r="POF129"/>
      <c r="POG129"/>
      <c r="POH129"/>
      <c r="POI129"/>
      <c r="POJ129"/>
      <c r="POK129"/>
      <c r="POL129"/>
      <c r="POM129"/>
      <c r="PON129"/>
      <c r="POO129"/>
      <c r="POP129"/>
      <c r="POQ129"/>
      <c r="POR129"/>
      <c r="POS129"/>
      <c r="POT129"/>
      <c r="POU129"/>
      <c r="POV129"/>
      <c r="POW129"/>
      <c r="POX129"/>
      <c r="POY129"/>
      <c r="POZ129"/>
      <c r="PPA129"/>
      <c r="PPB129"/>
      <c r="PPC129"/>
      <c r="PPD129"/>
      <c r="PPE129"/>
      <c r="PPF129"/>
      <c r="PPG129"/>
      <c r="PPH129"/>
      <c r="PPI129"/>
      <c r="PPJ129"/>
      <c r="PPK129"/>
      <c r="PPL129"/>
      <c r="PPM129"/>
      <c r="PPN129"/>
      <c r="PPO129"/>
      <c r="PPP129"/>
      <c r="PPQ129"/>
      <c r="PPR129"/>
      <c r="PPS129"/>
      <c r="PPT129"/>
      <c r="PPU129"/>
      <c r="PPV129"/>
      <c r="PPW129"/>
      <c r="PPX129"/>
      <c r="PPY129"/>
      <c r="PPZ129"/>
      <c r="PQA129"/>
      <c r="PQB129"/>
      <c r="PQC129"/>
      <c r="PQD129"/>
      <c r="PQE129"/>
      <c r="PQF129"/>
      <c r="PQG129"/>
      <c r="PQH129"/>
      <c r="PQI129"/>
      <c r="PQJ129"/>
      <c r="PQK129"/>
      <c r="PQL129"/>
      <c r="PQM129"/>
      <c r="PQN129"/>
      <c r="PQO129"/>
      <c r="PQP129"/>
      <c r="PQQ129"/>
      <c r="PQR129"/>
      <c r="PQS129"/>
      <c r="PQT129"/>
      <c r="PQU129"/>
      <c r="PQV129"/>
      <c r="PQW129"/>
      <c r="PQX129"/>
      <c r="PQY129"/>
      <c r="PQZ129"/>
      <c r="PRA129"/>
      <c r="PRB129"/>
      <c r="PRC129"/>
      <c r="PRD129"/>
      <c r="PRE129"/>
      <c r="PRF129"/>
      <c r="PRG129"/>
      <c r="PRH129"/>
      <c r="PRI129"/>
      <c r="PRJ129"/>
      <c r="PRK129"/>
      <c r="PRL129"/>
      <c r="PRM129"/>
      <c r="PRN129"/>
      <c r="PRO129"/>
      <c r="PRP129"/>
      <c r="PRQ129"/>
      <c r="PRR129"/>
      <c r="PRS129"/>
      <c r="PRT129"/>
      <c r="PRU129"/>
      <c r="PRV129"/>
      <c r="PRW129"/>
      <c r="PRX129"/>
      <c r="PRY129"/>
      <c r="PRZ129"/>
      <c r="PSA129"/>
      <c r="PSB129"/>
      <c r="PSC129"/>
      <c r="PSD129"/>
      <c r="PSE129"/>
      <c r="PSF129"/>
      <c r="PSG129"/>
      <c r="PSH129"/>
      <c r="PSI129"/>
      <c r="PSJ129"/>
      <c r="PSK129"/>
      <c r="PSL129"/>
      <c r="PSM129"/>
      <c r="PSN129"/>
      <c r="PSO129"/>
      <c r="PSP129"/>
      <c r="PSQ129"/>
      <c r="PSR129"/>
      <c r="PSS129"/>
      <c r="PST129"/>
      <c r="PSU129"/>
      <c r="PSV129"/>
      <c r="PSW129"/>
      <c r="PSX129"/>
      <c r="PSY129"/>
      <c r="PSZ129"/>
      <c r="PTA129"/>
      <c r="PTB129"/>
      <c r="PTC129"/>
      <c r="PTD129"/>
      <c r="PTE129"/>
      <c r="PTF129"/>
      <c r="PTG129"/>
      <c r="PTH129"/>
      <c r="PTI129"/>
      <c r="PTJ129"/>
      <c r="PTK129"/>
      <c r="PTL129"/>
      <c r="PTM129"/>
      <c r="PTN129"/>
      <c r="PTO129"/>
      <c r="PTP129"/>
      <c r="PTQ129"/>
      <c r="PTR129"/>
      <c r="PTS129"/>
      <c r="PTT129"/>
      <c r="PTU129"/>
      <c r="PTV129"/>
      <c r="PTW129"/>
      <c r="PTX129"/>
      <c r="PTY129"/>
      <c r="PTZ129"/>
      <c r="PUA129"/>
      <c r="PUB129"/>
      <c r="PUC129"/>
      <c r="PUD129"/>
      <c r="PUE129"/>
      <c r="PUF129"/>
      <c r="PUG129"/>
      <c r="PUH129"/>
      <c r="PUI129"/>
      <c r="PUJ129"/>
      <c r="PUK129"/>
      <c r="PUL129"/>
      <c r="PUM129"/>
      <c r="PUN129"/>
      <c r="PUO129"/>
      <c r="PUP129"/>
      <c r="PUQ129"/>
      <c r="PUR129"/>
      <c r="PUS129"/>
      <c r="PUT129"/>
      <c r="PUU129"/>
      <c r="PUV129"/>
      <c r="PUW129"/>
      <c r="PUX129"/>
      <c r="PUY129"/>
      <c r="PUZ129"/>
      <c r="PVA129"/>
      <c r="PVB129"/>
      <c r="PVC129"/>
      <c r="PVD129"/>
      <c r="PVE129"/>
      <c r="PVF129"/>
      <c r="PVG129"/>
      <c r="PVH129"/>
      <c r="PVI129"/>
      <c r="PVJ129"/>
      <c r="PVK129"/>
      <c r="PVL129"/>
      <c r="PVM129"/>
      <c r="PVN129"/>
      <c r="PVO129"/>
      <c r="PVP129"/>
      <c r="PVQ129"/>
      <c r="PVR129"/>
      <c r="PVS129"/>
      <c r="PVT129"/>
      <c r="PVU129"/>
      <c r="PVV129"/>
      <c r="PVW129"/>
      <c r="PVX129"/>
      <c r="PVY129"/>
      <c r="PVZ129"/>
      <c r="PWA129"/>
      <c r="PWB129"/>
      <c r="PWC129"/>
      <c r="PWD129"/>
      <c r="PWE129"/>
      <c r="PWF129"/>
      <c r="PWG129"/>
      <c r="PWH129"/>
      <c r="PWI129"/>
      <c r="PWJ129"/>
      <c r="PWK129"/>
      <c r="PWL129"/>
      <c r="PWM129"/>
      <c r="PWN129"/>
      <c r="PWO129"/>
      <c r="PWP129"/>
      <c r="PWQ129"/>
      <c r="PWR129"/>
      <c r="PWS129"/>
      <c r="PWT129"/>
      <c r="PWU129"/>
      <c r="PWV129"/>
      <c r="PWW129"/>
      <c r="PWX129"/>
      <c r="PWY129"/>
      <c r="PWZ129"/>
      <c r="PXA129"/>
      <c r="PXB129"/>
      <c r="PXC129"/>
      <c r="PXD129"/>
      <c r="PXE129"/>
      <c r="PXF129"/>
      <c r="PXG129"/>
      <c r="PXH129"/>
      <c r="PXI129"/>
      <c r="PXJ129"/>
      <c r="PXK129"/>
      <c r="PXL129"/>
      <c r="PXM129"/>
      <c r="PXN129"/>
      <c r="PXO129"/>
      <c r="PXP129"/>
      <c r="PXQ129"/>
      <c r="PXR129"/>
      <c r="PXS129"/>
      <c r="PXT129"/>
      <c r="PXU129"/>
      <c r="PXV129"/>
      <c r="PXW129"/>
      <c r="PXX129"/>
      <c r="PXY129"/>
      <c r="PXZ129"/>
      <c r="PYA129"/>
      <c r="PYB129"/>
      <c r="PYC129"/>
      <c r="PYD129"/>
      <c r="PYE129"/>
      <c r="PYF129"/>
      <c r="PYG129"/>
      <c r="PYH129"/>
      <c r="PYI129"/>
      <c r="PYJ129"/>
      <c r="PYK129"/>
      <c r="PYL129"/>
      <c r="PYM129"/>
      <c r="PYN129"/>
      <c r="PYO129"/>
      <c r="PYP129"/>
      <c r="PYQ129"/>
      <c r="PYR129"/>
      <c r="PYS129"/>
      <c r="PYT129"/>
      <c r="PYU129"/>
      <c r="PYV129"/>
      <c r="PYW129"/>
      <c r="PYX129"/>
      <c r="PYY129"/>
      <c r="PYZ129"/>
      <c r="PZA129"/>
      <c r="PZB129"/>
      <c r="PZC129"/>
      <c r="PZD129"/>
      <c r="PZE129"/>
      <c r="PZF129"/>
      <c r="PZG129"/>
      <c r="PZH129"/>
      <c r="PZI129"/>
      <c r="PZJ129"/>
      <c r="PZK129"/>
      <c r="PZL129"/>
      <c r="PZM129"/>
      <c r="PZN129"/>
      <c r="PZO129"/>
      <c r="PZP129"/>
      <c r="PZQ129"/>
      <c r="PZR129"/>
      <c r="PZS129"/>
      <c r="PZT129"/>
      <c r="PZU129"/>
      <c r="PZV129"/>
      <c r="PZW129"/>
      <c r="PZX129"/>
      <c r="PZY129"/>
      <c r="PZZ129"/>
      <c r="QAA129"/>
      <c r="QAB129"/>
      <c r="QAC129"/>
      <c r="QAD129"/>
      <c r="QAE129"/>
      <c r="QAF129"/>
      <c r="QAG129"/>
      <c r="QAH129"/>
      <c r="QAI129"/>
      <c r="QAJ129"/>
      <c r="QAK129"/>
      <c r="QAL129"/>
      <c r="QAM129"/>
      <c r="QAN129"/>
      <c r="QAO129"/>
      <c r="QAP129"/>
      <c r="QAQ129"/>
      <c r="QAR129"/>
      <c r="QAS129"/>
      <c r="QAT129"/>
      <c r="QAU129"/>
      <c r="QAV129"/>
      <c r="QAW129"/>
      <c r="QAX129"/>
      <c r="QAY129"/>
      <c r="QAZ129"/>
      <c r="QBA129"/>
      <c r="QBB129"/>
      <c r="QBC129"/>
      <c r="QBD129"/>
      <c r="QBE129"/>
      <c r="QBF129"/>
      <c r="QBG129"/>
      <c r="QBH129"/>
      <c r="QBI129"/>
      <c r="QBJ129"/>
      <c r="QBK129"/>
      <c r="QBL129"/>
      <c r="QBM129"/>
      <c r="QBN129"/>
      <c r="QBO129"/>
      <c r="QBP129"/>
      <c r="QBQ129"/>
      <c r="QBR129"/>
      <c r="QBS129"/>
      <c r="QBT129"/>
      <c r="QBU129"/>
      <c r="QBV129"/>
      <c r="QBW129"/>
      <c r="QBX129"/>
      <c r="QBY129"/>
      <c r="QBZ129"/>
      <c r="QCA129"/>
      <c r="QCB129"/>
      <c r="QCC129"/>
      <c r="QCD129"/>
      <c r="QCE129"/>
      <c r="QCF129"/>
      <c r="QCG129"/>
      <c r="QCH129"/>
      <c r="QCI129"/>
      <c r="QCJ129"/>
      <c r="QCK129"/>
      <c r="QCL129"/>
      <c r="QCM129"/>
      <c r="QCN129"/>
      <c r="QCO129"/>
      <c r="QCP129"/>
      <c r="QCQ129"/>
      <c r="QCR129"/>
      <c r="QCS129"/>
      <c r="QCT129"/>
      <c r="QCU129"/>
      <c r="QCV129"/>
      <c r="QCW129"/>
      <c r="QCX129"/>
      <c r="QCY129"/>
      <c r="QCZ129"/>
      <c r="QDA129"/>
      <c r="QDB129"/>
      <c r="QDC129"/>
      <c r="QDD129"/>
      <c r="QDE129"/>
      <c r="QDF129"/>
      <c r="QDG129"/>
      <c r="QDH129"/>
      <c r="QDI129"/>
      <c r="QDJ129"/>
      <c r="QDK129"/>
      <c r="QDL129"/>
      <c r="QDM129"/>
      <c r="QDN129"/>
      <c r="QDO129"/>
      <c r="QDP129"/>
      <c r="QDQ129"/>
      <c r="QDR129"/>
      <c r="QDS129"/>
      <c r="QDT129"/>
      <c r="QDU129"/>
      <c r="QDV129"/>
      <c r="QDW129"/>
      <c r="QDX129"/>
      <c r="QDY129"/>
      <c r="QDZ129"/>
      <c r="QEA129"/>
      <c r="QEB129"/>
      <c r="QEC129"/>
      <c r="QED129"/>
      <c r="QEE129"/>
      <c r="QEF129"/>
      <c r="QEG129"/>
      <c r="QEH129"/>
      <c r="QEI129"/>
      <c r="QEJ129"/>
      <c r="QEK129"/>
      <c r="QEL129"/>
      <c r="QEM129"/>
      <c r="QEN129"/>
      <c r="QEO129"/>
      <c r="QEP129"/>
      <c r="QEQ129"/>
      <c r="QER129"/>
      <c r="QES129"/>
      <c r="QET129"/>
      <c r="QEU129"/>
      <c r="QEV129"/>
      <c r="QEW129"/>
      <c r="QEX129"/>
      <c r="QEY129"/>
      <c r="QEZ129"/>
      <c r="QFA129"/>
      <c r="QFB129"/>
      <c r="QFC129"/>
      <c r="QFD129"/>
      <c r="QFE129"/>
      <c r="QFF129"/>
      <c r="QFG129"/>
      <c r="QFH129"/>
      <c r="QFI129"/>
      <c r="QFJ129"/>
      <c r="QFK129"/>
      <c r="QFL129"/>
      <c r="QFM129"/>
      <c r="QFN129"/>
      <c r="QFO129"/>
      <c r="QFP129"/>
      <c r="QFQ129"/>
      <c r="QFR129"/>
      <c r="QFS129"/>
      <c r="QFT129"/>
      <c r="QFU129"/>
      <c r="QFV129"/>
      <c r="QFW129"/>
      <c r="QFX129"/>
      <c r="QFY129"/>
      <c r="QFZ129"/>
      <c r="QGA129"/>
      <c r="QGB129"/>
      <c r="QGC129"/>
      <c r="QGD129"/>
      <c r="QGE129"/>
      <c r="QGF129"/>
      <c r="QGG129"/>
      <c r="QGH129"/>
      <c r="QGI129"/>
      <c r="QGJ129"/>
      <c r="QGK129"/>
      <c r="QGL129"/>
      <c r="QGM129"/>
      <c r="QGN129"/>
      <c r="QGO129"/>
      <c r="QGP129"/>
      <c r="QGQ129"/>
      <c r="QGR129"/>
      <c r="QGS129"/>
      <c r="QGT129"/>
      <c r="QGU129"/>
      <c r="QGV129"/>
      <c r="QGW129"/>
      <c r="QGX129"/>
      <c r="QGY129"/>
      <c r="QGZ129"/>
      <c r="QHA129"/>
      <c r="QHB129"/>
      <c r="QHC129"/>
      <c r="QHD129"/>
      <c r="QHE129"/>
      <c r="QHF129"/>
      <c r="QHG129"/>
      <c r="QHH129"/>
      <c r="QHI129"/>
      <c r="QHJ129"/>
      <c r="QHK129"/>
      <c r="QHL129"/>
      <c r="QHM129"/>
      <c r="QHN129"/>
      <c r="QHO129"/>
      <c r="QHP129"/>
      <c r="QHQ129"/>
      <c r="QHR129"/>
      <c r="QHS129"/>
      <c r="QHT129"/>
      <c r="QHU129"/>
      <c r="QHV129"/>
      <c r="QHW129"/>
      <c r="QHX129"/>
      <c r="QHY129"/>
      <c r="QHZ129"/>
      <c r="QIA129"/>
      <c r="QIB129"/>
      <c r="QIC129"/>
      <c r="QID129"/>
      <c r="QIE129"/>
      <c r="QIF129"/>
      <c r="QIG129"/>
      <c r="QIH129"/>
      <c r="QII129"/>
      <c r="QIJ129"/>
      <c r="QIK129"/>
      <c r="QIL129"/>
      <c r="QIM129"/>
      <c r="QIN129"/>
      <c r="QIO129"/>
      <c r="QIP129"/>
      <c r="QIQ129"/>
      <c r="QIR129"/>
      <c r="QIS129"/>
      <c r="QIT129"/>
      <c r="QIU129"/>
      <c r="QIV129"/>
      <c r="QIW129"/>
      <c r="QIX129"/>
      <c r="QIY129"/>
      <c r="QIZ129"/>
      <c r="QJA129"/>
      <c r="QJB129"/>
      <c r="QJC129"/>
      <c r="QJD129"/>
      <c r="QJE129"/>
      <c r="QJF129"/>
      <c r="QJG129"/>
      <c r="QJH129"/>
      <c r="QJI129"/>
      <c r="QJJ129"/>
      <c r="QJK129"/>
      <c r="QJL129"/>
      <c r="QJM129"/>
      <c r="QJN129"/>
      <c r="QJO129"/>
      <c r="QJP129"/>
      <c r="QJQ129"/>
      <c r="QJR129"/>
      <c r="QJS129"/>
      <c r="QJT129"/>
      <c r="QJU129"/>
      <c r="QJV129"/>
      <c r="QJW129"/>
      <c r="QJX129"/>
      <c r="QJY129"/>
      <c r="QJZ129"/>
      <c r="QKA129"/>
      <c r="QKB129"/>
      <c r="QKC129"/>
      <c r="QKD129"/>
      <c r="QKE129"/>
      <c r="QKF129"/>
      <c r="QKG129"/>
      <c r="QKH129"/>
      <c r="QKI129"/>
      <c r="QKJ129"/>
      <c r="QKK129"/>
      <c r="QKL129"/>
      <c r="QKM129"/>
      <c r="QKN129"/>
      <c r="QKO129"/>
      <c r="QKP129"/>
      <c r="QKQ129"/>
      <c r="QKR129"/>
      <c r="QKS129"/>
      <c r="QKT129"/>
      <c r="QKU129"/>
      <c r="QKV129"/>
      <c r="QKW129"/>
      <c r="QKX129"/>
      <c r="QKY129"/>
      <c r="QKZ129"/>
      <c r="QLA129"/>
      <c r="QLB129"/>
      <c r="QLC129"/>
      <c r="QLD129"/>
      <c r="QLE129"/>
      <c r="QLF129"/>
      <c r="QLG129"/>
      <c r="QLH129"/>
      <c r="QLI129"/>
      <c r="QLJ129"/>
      <c r="QLK129"/>
      <c r="QLL129"/>
      <c r="QLM129"/>
      <c r="QLN129"/>
      <c r="QLO129"/>
      <c r="QLP129"/>
      <c r="QLQ129"/>
      <c r="QLR129"/>
      <c r="QLS129"/>
      <c r="QLT129"/>
      <c r="QLU129"/>
      <c r="QLV129"/>
      <c r="QLW129"/>
      <c r="QLX129"/>
      <c r="QLY129"/>
      <c r="QLZ129"/>
      <c r="QMA129"/>
      <c r="QMB129"/>
      <c r="QMC129"/>
      <c r="QMD129"/>
      <c r="QME129"/>
      <c r="QMF129"/>
      <c r="QMG129"/>
      <c r="QMH129"/>
      <c r="QMI129"/>
      <c r="QMJ129"/>
      <c r="QMK129"/>
      <c r="QML129"/>
      <c r="QMM129"/>
      <c r="QMN129"/>
      <c r="QMO129"/>
      <c r="QMP129"/>
      <c r="QMQ129"/>
      <c r="QMR129"/>
      <c r="QMS129"/>
      <c r="QMT129"/>
      <c r="QMU129"/>
      <c r="QMV129"/>
      <c r="QMW129"/>
      <c r="QMX129"/>
      <c r="QMY129"/>
      <c r="QMZ129"/>
      <c r="QNA129"/>
      <c r="QNB129"/>
      <c r="QNC129"/>
      <c r="QND129"/>
      <c r="QNE129"/>
      <c r="QNF129"/>
      <c r="QNG129"/>
      <c r="QNH129"/>
      <c r="QNI129"/>
      <c r="QNJ129"/>
      <c r="QNK129"/>
      <c r="QNL129"/>
      <c r="QNM129"/>
      <c r="QNN129"/>
      <c r="QNO129"/>
      <c r="QNP129"/>
      <c r="QNQ129"/>
      <c r="QNR129"/>
      <c r="QNS129"/>
      <c r="QNT129"/>
      <c r="QNU129"/>
      <c r="QNV129"/>
      <c r="QNW129"/>
      <c r="QNX129"/>
      <c r="QNY129"/>
      <c r="QNZ129"/>
      <c r="QOA129"/>
      <c r="QOB129"/>
      <c r="QOC129"/>
      <c r="QOD129"/>
      <c r="QOE129"/>
      <c r="QOF129"/>
      <c r="QOG129"/>
      <c r="QOH129"/>
      <c r="QOI129"/>
      <c r="QOJ129"/>
      <c r="QOK129"/>
      <c r="QOL129"/>
      <c r="QOM129"/>
      <c r="QON129"/>
      <c r="QOO129"/>
      <c r="QOP129"/>
      <c r="QOQ129"/>
      <c r="QOR129"/>
      <c r="QOS129"/>
      <c r="QOT129"/>
      <c r="QOU129"/>
      <c r="QOV129"/>
      <c r="QOW129"/>
      <c r="QOX129"/>
      <c r="QOY129"/>
      <c r="QOZ129"/>
      <c r="QPA129"/>
      <c r="QPB129"/>
      <c r="QPC129"/>
      <c r="QPD129"/>
      <c r="QPE129"/>
      <c r="QPF129"/>
      <c r="QPG129"/>
      <c r="QPH129"/>
      <c r="QPI129"/>
      <c r="QPJ129"/>
      <c r="QPK129"/>
      <c r="QPL129"/>
      <c r="QPM129"/>
      <c r="QPN129"/>
      <c r="QPO129"/>
      <c r="QPP129"/>
      <c r="QPQ129"/>
      <c r="QPR129"/>
      <c r="QPS129"/>
      <c r="QPT129"/>
      <c r="QPU129"/>
      <c r="QPV129"/>
      <c r="QPW129"/>
      <c r="QPX129"/>
      <c r="QPY129"/>
      <c r="QPZ129"/>
      <c r="QQA129"/>
      <c r="QQB129"/>
      <c r="QQC129"/>
      <c r="QQD129"/>
      <c r="QQE129"/>
      <c r="QQF129"/>
      <c r="QQG129"/>
      <c r="QQH129"/>
      <c r="QQI129"/>
      <c r="QQJ129"/>
      <c r="QQK129"/>
      <c r="QQL129"/>
      <c r="QQM129"/>
      <c r="QQN129"/>
      <c r="QQO129"/>
      <c r="QQP129"/>
      <c r="QQQ129"/>
      <c r="QQR129"/>
      <c r="QQS129"/>
      <c r="QQT129"/>
      <c r="QQU129"/>
      <c r="QQV129"/>
      <c r="QQW129"/>
      <c r="QQX129"/>
      <c r="QQY129"/>
      <c r="QQZ129"/>
      <c r="QRA129"/>
      <c r="QRB129"/>
      <c r="QRC129"/>
      <c r="QRD129"/>
      <c r="QRE129"/>
      <c r="QRF129"/>
      <c r="QRG129"/>
      <c r="QRH129"/>
      <c r="QRI129"/>
      <c r="QRJ129"/>
      <c r="QRK129"/>
      <c r="QRL129"/>
      <c r="QRM129"/>
      <c r="QRN129"/>
      <c r="QRO129"/>
      <c r="QRP129"/>
      <c r="QRQ129"/>
      <c r="QRR129"/>
      <c r="QRS129"/>
      <c r="QRT129"/>
      <c r="QRU129"/>
      <c r="QRV129"/>
      <c r="QRW129"/>
      <c r="QRX129"/>
      <c r="QRY129"/>
      <c r="QRZ129"/>
      <c r="QSA129"/>
      <c r="QSB129"/>
      <c r="QSC129"/>
      <c r="QSD129"/>
      <c r="QSE129"/>
      <c r="QSF129"/>
      <c r="QSG129"/>
      <c r="QSH129"/>
      <c r="QSI129"/>
      <c r="QSJ129"/>
      <c r="QSK129"/>
      <c r="QSL129"/>
      <c r="QSM129"/>
      <c r="QSN129"/>
      <c r="QSO129"/>
      <c r="QSP129"/>
      <c r="QSQ129"/>
      <c r="QSR129"/>
      <c r="QSS129"/>
      <c r="QST129"/>
      <c r="QSU129"/>
      <c r="QSV129"/>
      <c r="QSW129"/>
      <c r="QSX129"/>
      <c r="QSY129"/>
      <c r="QSZ129"/>
      <c r="QTA129"/>
      <c r="QTB129"/>
      <c r="QTC129"/>
      <c r="QTD129"/>
      <c r="QTE129"/>
      <c r="QTF129"/>
      <c r="QTG129"/>
      <c r="QTH129"/>
      <c r="QTI129"/>
      <c r="QTJ129"/>
      <c r="QTK129"/>
      <c r="QTL129"/>
      <c r="QTM129"/>
      <c r="QTN129"/>
      <c r="QTO129"/>
      <c r="QTP129"/>
      <c r="QTQ129"/>
      <c r="QTR129"/>
      <c r="QTS129"/>
      <c r="QTT129"/>
      <c r="QTU129"/>
      <c r="QTV129"/>
      <c r="QTW129"/>
      <c r="QTX129"/>
      <c r="QTY129"/>
      <c r="QTZ129"/>
      <c r="QUA129"/>
      <c r="QUB129"/>
      <c r="QUC129"/>
      <c r="QUD129"/>
      <c r="QUE129"/>
      <c r="QUF129"/>
      <c r="QUG129"/>
      <c r="QUH129"/>
      <c r="QUI129"/>
      <c r="QUJ129"/>
      <c r="QUK129"/>
      <c r="QUL129"/>
      <c r="QUM129"/>
      <c r="QUN129"/>
      <c r="QUO129"/>
      <c r="QUP129"/>
      <c r="QUQ129"/>
      <c r="QUR129"/>
      <c r="QUS129"/>
      <c r="QUT129"/>
      <c r="QUU129"/>
      <c r="QUV129"/>
      <c r="QUW129"/>
      <c r="QUX129"/>
      <c r="QUY129"/>
      <c r="QUZ129"/>
      <c r="QVA129"/>
      <c r="QVB129"/>
      <c r="QVC129"/>
      <c r="QVD129"/>
      <c r="QVE129"/>
      <c r="QVF129"/>
      <c r="QVG129"/>
      <c r="QVH129"/>
      <c r="QVI129"/>
      <c r="QVJ129"/>
      <c r="QVK129"/>
      <c r="QVL129"/>
      <c r="QVM129"/>
      <c r="QVN129"/>
      <c r="QVO129"/>
      <c r="QVP129"/>
      <c r="QVQ129"/>
      <c r="QVR129"/>
      <c r="QVS129"/>
      <c r="QVT129"/>
      <c r="QVU129"/>
      <c r="QVV129"/>
      <c r="QVW129"/>
      <c r="QVX129"/>
      <c r="QVY129"/>
      <c r="QVZ129"/>
      <c r="QWA129"/>
      <c r="QWB129"/>
      <c r="QWC129"/>
      <c r="QWD129"/>
      <c r="QWE129"/>
      <c r="QWF129"/>
      <c r="QWG129"/>
      <c r="QWH129"/>
      <c r="QWI129"/>
      <c r="QWJ129"/>
      <c r="QWK129"/>
      <c r="QWL129"/>
      <c r="QWM129"/>
      <c r="QWN129"/>
      <c r="QWO129"/>
      <c r="QWP129"/>
      <c r="QWQ129"/>
      <c r="QWR129"/>
      <c r="QWS129"/>
      <c r="QWT129"/>
      <c r="QWU129"/>
      <c r="QWV129"/>
      <c r="QWW129"/>
      <c r="QWX129"/>
      <c r="QWY129"/>
      <c r="QWZ129"/>
      <c r="QXA129"/>
      <c r="QXB129"/>
      <c r="QXC129"/>
      <c r="QXD129"/>
      <c r="QXE129"/>
      <c r="QXF129"/>
      <c r="QXG129"/>
      <c r="QXH129"/>
      <c r="QXI129"/>
      <c r="QXJ129"/>
      <c r="QXK129"/>
      <c r="QXL129"/>
      <c r="QXM129"/>
      <c r="QXN129"/>
      <c r="QXO129"/>
      <c r="QXP129"/>
      <c r="QXQ129"/>
      <c r="QXR129"/>
      <c r="QXS129"/>
      <c r="QXT129"/>
      <c r="QXU129"/>
      <c r="QXV129"/>
      <c r="QXW129"/>
      <c r="QXX129"/>
      <c r="QXY129"/>
      <c r="QXZ129"/>
      <c r="QYA129"/>
      <c r="QYB129"/>
      <c r="QYC129"/>
      <c r="QYD129"/>
      <c r="QYE129"/>
      <c r="QYF129"/>
      <c r="QYG129"/>
      <c r="QYH129"/>
      <c r="QYI129"/>
      <c r="QYJ129"/>
      <c r="QYK129"/>
      <c r="QYL129"/>
      <c r="QYM129"/>
      <c r="QYN129"/>
      <c r="QYO129"/>
      <c r="QYP129"/>
      <c r="QYQ129"/>
      <c r="QYR129"/>
      <c r="QYS129"/>
      <c r="QYT129"/>
      <c r="QYU129"/>
      <c r="QYV129"/>
      <c r="QYW129"/>
      <c r="QYX129"/>
      <c r="QYY129"/>
      <c r="QYZ129"/>
      <c r="QZA129"/>
      <c r="QZB129"/>
      <c r="QZC129"/>
      <c r="QZD129"/>
      <c r="QZE129"/>
      <c r="QZF129"/>
      <c r="QZG129"/>
      <c r="QZH129"/>
      <c r="QZI129"/>
      <c r="QZJ129"/>
      <c r="QZK129"/>
      <c r="QZL129"/>
      <c r="QZM129"/>
      <c r="QZN129"/>
      <c r="QZO129"/>
      <c r="QZP129"/>
      <c r="QZQ129"/>
      <c r="QZR129"/>
      <c r="QZS129"/>
      <c r="QZT129"/>
      <c r="QZU129"/>
      <c r="QZV129"/>
      <c r="QZW129"/>
      <c r="QZX129"/>
      <c r="QZY129"/>
      <c r="QZZ129"/>
      <c r="RAA129"/>
      <c r="RAB129"/>
      <c r="RAC129"/>
      <c r="RAD129"/>
      <c r="RAE129"/>
      <c r="RAF129"/>
      <c r="RAG129"/>
      <c r="RAH129"/>
      <c r="RAI129"/>
      <c r="RAJ129"/>
      <c r="RAK129"/>
      <c r="RAL129"/>
      <c r="RAM129"/>
      <c r="RAN129"/>
      <c r="RAO129"/>
      <c r="RAP129"/>
      <c r="RAQ129"/>
      <c r="RAR129"/>
      <c r="RAS129"/>
      <c r="RAT129"/>
      <c r="RAU129"/>
      <c r="RAV129"/>
      <c r="RAW129"/>
      <c r="RAX129"/>
      <c r="RAY129"/>
      <c r="RAZ129"/>
      <c r="RBA129"/>
      <c r="RBB129"/>
      <c r="RBC129"/>
      <c r="RBD129"/>
      <c r="RBE129"/>
      <c r="RBF129"/>
      <c r="RBG129"/>
      <c r="RBH129"/>
      <c r="RBI129"/>
      <c r="RBJ129"/>
      <c r="RBK129"/>
      <c r="RBL129"/>
      <c r="RBM129"/>
      <c r="RBN129"/>
      <c r="RBO129"/>
      <c r="RBP129"/>
      <c r="RBQ129"/>
      <c r="RBR129"/>
      <c r="RBS129"/>
      <c r="RBT129"/>
      <c r="RBU129"/>
      <c r="RBV129"/>
      <c r="RBW129"/>
      <c r="RBX129"/>
      <c r="RBY129"/>
      <c r="RBZ129"/>
      <c r="RCA129"/>
      <c r="RCB129"/>
      <c r="RCC129"/>
      <c r="RCD129"/>
      <c r="RCE129"/>
      <c r="RCF129"/>
      <c r="RCG129"/>
      <c r="RCH129"/>
      <c r="RCI129"/>
      <c r="RCJ129"/>
      <c r="RCK129"/>
      <c r="RCL129"/>
      <c r="RCM129"/>
      <c r="RCN129"/>
      <c r="RCO129"/>
      <c r="RCP129"/>
      <c r="RCQ129"/>
      <c r="RCR129"/>
      <c r="RCS129"/>
      <c r="RCT129"/>
      <c r="RCU129"/>
      <c r="RCV129"/>
      <c r="RCW129"/>
      <c r="RCX129"/>
      <c r="RCY129"/>
      <c r="RCZ129"/>
      <c r="RDA129"/>
      <c r="RDB129"/>
      <c r="RDC129"/>
      <c r="RDD129"/>
      <c r="RDE129"/>
      <c r="RDF129"/>
      <c r="RDG129"/>
      <c r="RDH129"/>
      <c r="RDI129"/>
      <c r="RDJ129"/>
      <c r="RDK129"/>
      <c r="RDL129"/>
      <c r="RDM129"/>
      <c r="RDN129"/>
      <c r="RDO129"/>
      <c r="RDP129"/>
      <c r="RDQ129"/>
      <c r="RDR129"/>
      <c r="RDS129"/>
      <c r="RDT129"/>
      <c r="RDU129"/>
      <c r="RDV129"/>
      <c r="RDW129"/>
      <c r="RDX129"/>
      <c r="RDY129"/>
      <c r="RDZ129"/>
      <c r="REA129"/>
      <c r="REB129"/>
      <c r="REC129"/>
      <c r="RED129"/>
      <c r="REE129"/>
      <c r="REF129"/>
      <c r="REG129"/>
      <c r="REH129"/>
      <c r="REI129"/>
      <c r="REJ129"/>
      <c r="REK129"/>
      <c r="REL129"/>
      <c r="REM129"/>
      <c r="REN129"/>
      <c r="REO129"/>
      <c r="REP129"/>
      <c r="REQ129"/>
      <c r="RER129"/>
      <c r="RES129"/>
      <c r="RET129"/>
      <c r="REU129"/>
      <c r="REV129"/>
      <c r="REW129"/>
      <c r="REX129"/>
      <c r="REY129"/>
      <c r="REZ129"/>
      <c r="RFA129"/>
      <c r="RFB129"/>
      <c r="RFC129"/>
      <c r="RFD129"/>
      <c r="RFE129"/>
      <c r="RFF129"/>
      <c r="RFG129"/>
      <c r="RFH129"/>
      <c r="RFI129"/>
      <c r="RFJ129"/>
      <c r="RFK129"/>
      <c r="RFL129"/>
      <c r="RFM129"/>
      <c r="RFN129"/>
      <c r="RFO129"/>
      <c r="RFP129"/>
      <c r="RFQ129"/>
      <c r="RFR129"/>
      <c r="RFS129"/>
      <c r="RFT129"/>
      <c r="RFU129"/>
      <c r="RFV129"/>
      <c r="RFW129"/>
      <c r="RFX129"/>
      <c r="RFY129"/>
      <c r="RFZ129"/>
      <c r="RGA129"/>
      <c r="RGB129"/>
      <c r="RGC129"/>
      <c r="RGD129"/>
      <c r="RGE129"/>
      <c r="RGF129"/>
      <c r="RGG129"/>
      <c r="RGH129"/>
      <c r="RGI129"/>
      <c r="RGJ129"/>
      <c r="RGK129"/>
      <c r="RGL129"/>
      <c r="RGM129"/>
      <c r="RGN129"/>
      <c r="RGO129"/>
      <c r="RGP129"/>
      <c r="RGQ129"/>
      <c r="RGR129"/>
      <c r="RGS129"/>
      <c r="RGT129"/>
      <c r="RGU129"/>
      <c r="RGV129"/>
      <c r="RGW129"/>
      <c r="RGX129"/>
      <c r="RGY129"/>
      <c r="RGZ129"/>
      <c r="RHA129"/>
      <c r="RHB129"/>
      <c r="RHC129"/>
      <c r="RHD129"/>
      <c r="RHE129"/>
      <c r="RHF129"/>
      <c r="RHG129"/>
      <c r="RHH129"/>
      <c r="RHI129"/>
      <c r="RHJ129"/>
      <c r="RHK129"/>
      <c r="RHL129"/>
      <c r="RHM129"/>
      <c r="RHN129"/>
      <c r="RHO129"/>
      <c r="RHP129"/>
      <c r="RHQ129"/>
      <c r="RHR129"/>
      <c r="RHS129"/>
      <c r="RHT129"/>
      <c r="RHU129"/>
      <c r="RHV129"/>
      <c r="RHW129"/>
      <c r="RHX129"/>
      <c r="RHY129"/>
      <c r="RHZ129"/>
      <c r="RIA129"/>
      <c r="RIB129"/>
      <c r="RIC129"/>
      <c r="RID129"/>
      <c r="RIE129"/>
      <c r="RIF129"/>
      <c r="RIG129"/>
      <c r="RIH129"/>
      <c r="RII129"/>
      <c r="RIJ129"/>
      <c r="RIK129"/>
      <c r="RIL129"/>
      <c r="RIM129"/>
      <c r="RIN129"/>
      <c r="RIO129"/>
      <c r="RIP129"/>
      <c r="RIQ129"/>
      <c r="RIR129"/>
      <c r="RIS129"/>
      <c r="RIT129"/>
      <c r="RIU129"/>
      <c r="RIV129"/>
      <c r="RIW129"/>
      <c r="RIX129"/>
      <c r="RIY129"/>
      <c r="RIZ129"/>
      <c r="RJA129"/>
      <c r="RJB129"/>
      <c r="RJC129"/>
      <c r="RJD129"/>
      <c r="RJE129"/>
      <c r="RJF129"/>
      <c r="RJG129"/>
      <c r="RJH129"/>
      <c r="RJI129"/>
      <c r="RJJ129"/>
      <c r="RJK129"/>
      <c r="RJL129"/>
      <c r="RJM129"/>
      <c r="RJN129"/>
      <c r="RJO129"/>
      <c r="RJP129"/>
      <c r="RJQ129"/>
      <c r="RJR129"/>
      <c r="RJS129"/>
      <c r="RJT129"/>
      <c r="RJU129"/>
      <c r="RJV129"/>
      <c r="RJW129"/>
      <c r="RJX129"/>
      <c r="RJY129"/>
      <c r="RJZ129"/>
      <c r="RKA129"/>
      <c r="RKB129"/>
      <c r="RKC129"/>
      <c r="RKD129"/>
      <c r="RKE129"/>
      <c r="RKF129"/>
      <c r="RKG129"/>
      <c r="RKH129"/>
      <c r="RKI129"/>
      <c r="RKJ129"/>
      <c r="RKK129"/>
      <c r="RKL129"/>
      <c r="RKM129"/>
      <c r="RKN129"/>
      <c r="RKO129"/>
      <c r="RKP129"/>
      <c r="RKQ129"/>
      <c r="RKR129"/>
      <c r="RKS129"/>
      <c r="RKT129"/>
      <c r="RKU129"/>
      <c r="RKV129"/>
      <c r="RKW129"/>
      <c r="RKX129"/>
      <c r="RKY129"/>
      <c r="RKZ129"/>
      <c r="RLA129"/>
      <c r="RLB129"/>
      <c r="RLC129"/>
      <c r="RLD129"/>
      <c r="RLE129"/>
      <c r="RLF129"/>
      <c r="RLG129"/>
      <c r="RLH129"/>
      <c r="RLI129"/>
      <c r="RLJ129"/>
      <c r="RLK129"/>
      <c r="RLL129"/>
      <c r="RLM129"/>
      <c r="RLN129"/>
      <c r="RLO129"/>
      <c r="RLP129"/>
      <c r="RLQ129"/>
      <c r="RLR129"/>
      <c r="RLS129"/>
      <c r="RLT129"/>
      <c r="RLU129"/>
      <c r="RLV129"/>
      <c r="RLW129"/>
      <c r="RLX129"/>
      <c r="RLY129"/>
      <c r="RLZ129"/>
      <c r="RMA129"/>
      <c r="RMB129"/>
      <c r="RMC129"/>
      <c r="RMD129"/>
      <c r="RME129"/>
      <c r="RMF129"/>
      <c r="RMG129"/>
      <c r="RMH129"/>
      <c r="RMI129"/>
      <c r="RMJ129"/>
      <c r="RMK129"/>
      <c r="RML129"/>
      <c r="RMM129"/>
      <c r="RMN129"/>
      <c r="RMO129"/>
      <c r="RMP129"/>
      <c r="RMQ129"/>
      <c r="RMR129"/>
      <c r="RMS129"/>
      <c r="RMT129"/>
      <c r="RMU129"/>
      <c r="RMV129"/>
      <c r="RMW129"/>
      <c r="RMX129"/>
      <c r="RMY129"/>
      <c r="RMZ129"/>
      <c r="RNA129"/>
      <c r="RNB129"/>
      <c r="RNC129"/>
      <c r="RND129"/>
      <c r="RNE129"/>
      <c r="RNF129"/>
      <c r="RNG129"/>
      <c r="RNH129"/>
      <c r="RNI129"/>
      <c r="RNJ129"/>
      <c r="RNK129"/>
      <c r="RNL129"/>
      <c r="RNM129"/>
      <c r="RNN129"/>
      <c r="RNO129"/>
      <c r="RNP129"/>
      <c r="RNQ129"/>
      <c r="RNR129"/>
      <c r="RNS129"/>
      <c r="RNT129"/>
      <c r="RNU129"/>
      <c r="RNV129"/>
      <c r="RNW129"/>
      <c r="RNX129"/>
      <c r="RNY129"/>
      <c r="RNZ129"/>
      <c r="ROA129"/>
      <c r="ROB129"/>
      <c r="ROC129"/>
      <c r="ROD129"/>
      <c r="ROE129"/>
      <c r="ROF129"/>
      <c r="ROG129"/>
      <c r="ROH129"/>
      <c r="ROI129"/>
      <c r="ROJ129"/>
      <c r="ROK129"/>
      <c r="ROL129"/>
      <c r="ROM129"/>
      <c r="RON129"/>
      <c r="ROO129"/>
      <c r="ROP129"/>
      <c r="ROQ129"/>
      <c r="ROR129"/>
      <c r="ROS129"/>
      <c r="ROT129"/>
      <c r="ROU129"/>
      <c r="ROV129"/>
      <c r="ROW129"/>
      <c r="ROX129"/>
      <c r="ROY129"/>
      <c r="ROZ129"/>
      <c r="RPA129"/>
      <c r="RPB129"/>
      <c r="RPC129"/>
      <c r="RPD129"/>
      <c r="RPE129"/>
      <c r="RPF129"/>
      <c r="RPG129"/>
      <c r="RPH129"/>
      <c r="RPI129"/>
      <c r="RPJ129"/>
      <c r="RPK129"/>
      <c r="RPL129"/>
      <c r="RPM129"/>
      <c r="RPN129"/>
      <c r="RPO129"/>
      <c r="RPP129"/>
      <c r="RPQ129"/>
      <c r="RPR129"/>
      <c r="RPS129"/>
      <c r="RPT129"/>
      <c r="RPU129"/>
      <c r="RPV129"/>
      <c r="RPW129"/>
      <c r="RPX129"/>
      <c r="RPY129"/>
      <c r="RPZ129"/>
      <c r="RQA129"/>
      <c r="RQB129"/>
      <c r="RQC129"/>
      <c r="RQD129"/>
      <c r="RQE129"/>
      <c r="RQF129"/>
      <c r="RQG129"/>
      <c r="RQH129"/>
      <c r="RQI129"/>
      <c r="RQJ129"/>
      <c r="RQK129"/>
      <c r="RQL129"/>
      <c r="RQM129"/>
      <c r="RQN129"/>
      <c r="RQO129"/>
      <c r="RQP129"/>
      <c r="RQQ129"/>
      <c r="RQR129"/>
      <c r="RQS129"/>
      <c r="RQT129"/>
      <c r="RQU129"/>
      <c r="RQV129"/>
      <c r="RQW129"/>
      <c r="RQX129"/>
      <c r="RQY129"/>
      <c r="RQZ129"/>
      <c r="RRA129"/>
      <c r="RRB129"/>
      <c r="RRC129"/>
      <c r="RRD129"/>
      <c r="RRE129"/>
      <c r="RRF129"/>
      <c r="RRG129"/>
      <c r="RRH129"/>
      <c r="RRI129"/>
      <c r="RRJ129"/>
      <c r="RRK129"/>
      <c r="RRL129"/>
      <c r="RRM129"/>
      <c r="RRN129"/>
      <c r="RRO129"/>
      <c r="RRP129"/>
      <c r="RRQ129"/>
      <c r="RRR129"/>
      <c r="RRS129"/>
      <c r="RRT129"/>
      <c r="RRU129"/>
      <c r="RRV129"/>
      <c r="RRW129"/>
      <c r="RRX129"/>
      <c r="RRY129"/>
      <c r="RRZ129"/>
      <c r="RSA129"/>
      <c r="RSB129"/>
      <c r="RSC129"/>
      <c r="RSD129"/>
      <c r="RSE129"/>
      <c r="RSF129"/>
      <c r="RSG129"/>
      <c r="RSH129"/>
      <c r="RSI129"/>
      <c r="RSJ129"/>
      <c r="RSK129"/>
      <c r="RSL129"/>
      <c r="RSM129"/>
      <c r="RSN129"/>
      <c r="RSO129"/>
      <c r="RSP129"/>
      <c r="RSQ129"/>
      <c r="RSR129"/>
      <c r="RSS129"/>
      <c r="RST129"/>
      <c r="RSU129"/>
      <c r="RSV129"/>
      <c r="RSW129"/>
      <c r="RSX129"/>
      <c r="RSY129"/>
      <c r="RSZ129"/>
      <c r="RTA129"/>
      <c r="RTB129"/>
      <c r="RTC129"/>
      <c r="RTD129"/>
      <c r="RTE129"/>
      <c r="RTF129"/>
      <c r="RTG129"/>
      <c r="RTH129"/>
      <c r="RTI129"/>
      <c r="RTJ129"/>
      <c r="RTK129"/>
      <c r="RTL129"/>
      <c r="RTM129"/>
      <c r="RTN129"/>
      <c r="RTO129"/>
      <c r="RTP129"/>
      <c r="RTQ129"/>
      <c r="RTR129"/>
      <c r="RTS129"/>
      <c r="RTT129"/>
      <c r="RTU129"/>
      <c r="RTV129"/>
      <c r="RTW129"/>
      <c r="RTX129"/>
      <c r="RTY129"/>
      <c r="RTZ129"/>
      <c r="RUA129"/>
      <c r="RUB129"/>
      <c r="RUC129"/>
      <c r="RUD129"/>
      <c r="RUE129"/>
      <c r="RUF129"/>
      <c r="RUG129"/>
      <c r="RUH129"/>
      <c r="RUI129"/>
      <c r="RUJ129"/>
      <c r="RUK129"/>
      <c r="RUL129"/>
      <c r="RUM129"/>
      <c r="RUN129"/>
      <c r="RUO129"/>
      <c r="RUP129"/>
      <c r="RUQ129"/>
      <c r="RUR129"/>
      <c r="RUS129"/>
      <c r="RUT129"/>
      <c r="RUU129"/>
      <c r="RUV129"/>
      <c r="RUW129"/>
      <c r="RUX129"/>
      <c r="RUY129"/>
      <c r="RUZ129"/>
      <c r="RVA129"/>
      <c r="RVB129"/>
      <c r="RVC129"/>
      <c r="RVD129"/>
      <c r="RVE129"/>
      <c r="RVF129"/>
      <c r="RVG129"/>
      <c r="RVH129"/>
      <c r="RVI129"/>
      <c r="RVJ129"/>
      <c r="RVK129"/>
      <c r="RVL129"/>
      <c r="RVM129"/>
      <c r="RVN129"/>
      <c r="RVO129"/>
      <c r="RVP129"/>
      <c r="RVQ129"/>
      <c r="RVR129"/>
      <c r="RVS129"/>
      <c r="RVT129"/>
      <c r="RVU129"/>
      <c r="RVV129"/>
      <c r="RVW129"/>
      <c r="RVX129"/>
      <c r="RVY129"/>
      <c r="RVZ129"/>
      <c r="RWA129"/>
      <c r="RWB129"/>
      <c r="RWC129"/>
      <c r="RWD129"/>
      <c r="RWE129"/>
      <c r="RWF129"/>
      <c r="RWG129"/>
      <c r="RWH129"/>
      <c r="RWI129"/>
      <c r="RWJ129"/>
      <c r="RWK129"/>
      <c r="RWL129"/>
      <c r="RWM129"/>
      <c r="RWN129"/>
      <c r="RWO129"/>
      <c r="RWP129"/>
      <c r="RWQ129"/>
      <c r="RWR129"/>
      <c r="RWS129"/>
      <c r="RWT129"/>
      <c r="RWU129"/>
      <c r="RWV129"/>
      <c r="RWW129"/>
      <c r="RWX129"/>
      <c r="RWY129"/>
      <c r="RWZ129"/>
      <c r="RXA129"/>
      <c r="RXB129"/>
      <c r="RXC129"/>
      <c r="RXD129"/>
      <c r="RXE129"/>
      <c r="RXF129"/>
      <c r="RXG129"/>
      <c r="RXH129"/>
      <c r="RXI129"/>
      <c r="RXJ129"/>
      <c r="RXK129"/>
      <c r="RXL129"/>
      <c r="RXM129"/>
      <c r="RXN129"/>
      <c r="RXO129"/>
      <c r="RXP129"/>
      <c r="RXQ129"/>
      <c r="RXR129"/>
      <c r="RXS129"/>
      <c r="RXT129"/>
      <c r="RXU129"/>
      <c r="RXV129"/>
      <c r="RXW129"/>
      <c r="RXX129"/>
      <c r="RXY129"/>
      <c r="RXZ129"/>
      <c r="RYA129"/>
      <c r="RYB129"/>
      <c r="RYC129"/>
      <c r="RYD129"/>
      <c r="RYE129"/>
      <c r="RYF129"/>
      <c r="RYG129"/>
      <c r="RYH129"/>
      <c r="RYI129"/>
      <c r="RYJ129"/>
      <c r="RYK129"/>
      <c r="RYL129"/>
      <c r="RYM129"/>
      <c r="RYN129"/>
      <c r="RYO129"/>
      <c r="RYP129"/>
      <c r="RYQ129"/>
      <c r="RYR129"/>
      <c r="RYS129"/>
      <c r="RYT129"/>
      <c r="RYU129"/>
      <c r="RYV129"/>
      <c r="RYW129"/>
      <c r="RYX129"/>
      <c r="RYY129"/>
      <c r="RYZ129"/>
      <c r="RZA129"/>
      <c r="RZB129"/>
      <c r="RZC129"/>
      <c r="RZD129"/>
      <c r="RZE129"/>
      <c r="RZF129"/>
      <c r="RZG129"/>
      <c r="RZH129"/>
      <c r="RZI129"/>
      <c r="RZJ129"/>
      <c r="RZK129"/>
      <c r="RZL129"/>
      <c r="RZM129"/>
      <c r="RZN129"/>
      <c r="RZO129"/>
      <c r="RZP129"/>
      <c r="RZQ129"/>
      <c r="RZR129"/>
      <c r="RZS129"/>
      <c r="RZT129"/>
      <c r="RZU129"/>
      <c r="RZV129"/>
      <c r="RZW129"/>
      <c r="RZX129"/>
      <c r="RZY129"/>
      <c r="RZZ129"/>
      <c r="SAA129"/>
      <c r="SAB129"/>
      <c r="SAC129"/>
      <c r="SAD129"/>
      <c r="SAE129"/>
      <c r="SAF129"/>
      <c r="SAG129"/>
      <c r="SAH129"/>
      <c r="SAI129"/>
      <c r="SAJ129"/>
      <c r="SAK129"/>
      <c r="SAL129"/>
      <c r="SAM129"/>
      <c r="SAN129"/>
      <c r="SAO129"/>
      <c r="SAP129"/>
      <c r="SAQ129"/>
      <c r="SAR129"/>
      <c r="SAS129"/>
      <c r="SAT129"/>
      <c r="SAU129"/>
      <c r="SAV129"/>
      <c r="SAW129"/>
      <c r="SAX129"/>
      <c r="SAY129"/>
      <c r="SAZ129"/>
      <c r="SBA129"/>
      <c r="SBB129"/>
      <c r="SBC129"/>
      <c r="SBD129"/>
      <c r="SBE129"/>
      <c r="SBF129"/>
      <c r="SBG129"/>
      <c r="SBH129"/>
      <c r="SBI129"/>
      <c r="SBJ129"/>
      <c r="SBK129"/>
      <c r="SBL129"/>
      <c r="SBM129"/>
      <c r="SBN129"/>
      <c r="SBO129"/>
      <c r="SBP129"/>
      <c r="SBQ129"/>
      <c r="SBR129"/>
      <c r="SBS129"/>
      <c r="SBT129"/>
      <c r="SBU129"/>
      <c r="SBV129"/>
      <c r="SBW129"/>
      <c r="SBX129"/>
      <c r="SBY129"/>
      <c r="SBZ129"/>
      <c r="SCA129"/>
      <c r="SCB129"/>
      <c r="SCC129"/>
      <c r="SCD129"/>
      <c r="SCE129"/>
      <c r="SCF129"/>
      <c r="SCG129"/>
      <c r="SCH129"/>
      <c r="SCI129"/>
      <c r="SCJ129"/>
      <c r="SCK129"/>
      <c r="SCL129"/>
      <c r="SCM129"/>
      <c r="SCN129"/>
      <c r="SCO129"/>
      <c r="SCP129"/>
      <c r="SCQ129"/>
      <c r="SCR129"/>
      <c r="SCS129"/>
      <c r="SCT129"/>
      <c r="SCU129"/>
      <c r="SCV129"/>
      <c r="SCW129"/>
      <c r="SCX129"/>
      <c r="SCY129"/>
      <c r="SCZ129"/>
      <c r="SDA129"/>
      <c r="SDB129"/>
      <c r="SDC129"/>
      <c r="SDD129"/>
      <c r="SDE129"/>
      <c r="SDF129"/>
      <c r="SDG129"/>
      <c r="SDH129"/>
      <c r="SDI129"/>
      <c r="SDJ129"/>
      <c r="SDK129"/>
      <c r="SDL129"/>
      <c r="SDM129"/>
      <c r="SDN129"/>
      <c r="SDO129"/>
      <c r="SDP129"/>
      <c r="SDQ129"/>
      <c r="SDR129"/>
      <c r="SDS129"/>
      <c r="SDT129"/>
      <c r="SDU129"/>
      <c r="SDV129"/>
      <c r="SDW129"/>
      <c r="SDX129"/>
      <c r="SDY129"/>
      <c r="SDZ129"/>
      <c r="SEA129"/>
      <c r="SEB129"/>
      <c r="SEC129"/>
      <c r="SED129"/>
      <c r="SEE129"/>
      <c r="SEF129"/>
      <c r="SEG129"/>
      <c r="SEH129"/>
      <c r="SEI129"/>
      <c r="SEJ129"/>
      <c r="SEK129"/>
      <c r="SEL129"/>
      <c r="SEM129"/>
      <c r="SEN129"/>
      <c r="SEO129"/>
      <c r="SEP129"/>
      <c r="SEQ129"/>
      <c r="SER129"/>
      <c r="SES129"/>
      <c r="SET129"/>
      <c r="SEU129"/>
      <c r="SEV129"/>
      <c r="SEW129"/>
      <c r="SEX129"/>
      <c r="SEY129"/>
      <c r="SEZ129"/>
      <c r="SFA129"/>
      <c r="SFB129"/>
      <c r="SFC129"/>
      <c r="SFD129"/>
      <c r="SFE129"/>
      <c r="SFF129"/>
      <c r="SFG129"/>
      <c r="SFH129"/>
      <c r="SFI129"/>
      <c r="SFJ129"/>
      <c r="SFK129"/>
      <c r="SFL129"/>
      <c r="SFM129"/>
      <c r="SFN129"/>
      <c r="SFO129"/>
      <c r="SFP129"/>
      <c r="SFQ129"/>
      <c r="SFR129"/>
      <c r="SFS129"/>
      <c r="SFT129"/>
      <c r="SFU129"/>
      <c r="SFV129"/>
      <c r="SFW129"/>
      <c r="SFX129"/>
      <c r="SFY129"/>
      <c r="SFZ129"/>
      <c r="SGA129"/>
      <c r="SGB129"/>
      <c r="SGC129"/>
      <c r="SGD129"/>
      <c r="SGE129"/>
      <c r="SGF129"/>
      <c r="SGG129"/>
      <c r="SGH129"/>
      <c r="SGI129"/>
      <c r="SGJ129"/>
      <c r="SGK129"/>
      <c r="SGL129"/>
      <c r="SGM129"/>
      <c r="SGN129"/>
      <c r="SGO129"/>
      <c r="SGP129"/>
      <c r="SGQ129"/>
      <c r="SGR129"/>
      <c r="SGS129"/>
      <c r="SGT129"/>
      <c r="SGU129"/>
      <c r="SGV129"/>
      <c r="SGW129"/>
      <c r="SGX129"/>
      <c r="SGY129"/>
      <c r="SGZ129"/>
      <c r="SHA129"/>
      <c r="SHB129"/>
      <c r="SHC129"/>
      <c r="SHD129"/>
      <c r="SHE129"/>
      <c r="SHF129"/>
      <c r="SHG129"/>
      <c r="SHH129"/>
      <c r="SHI129"/>
      <c r="SHJ129"/>
      <c r="SHK129"/>
      <c r="SHL129"/>
      <c r="SHM129"/>
      <c r="SHN129"/>
      <c r="SHO129"/>
      <c r="SHP129"/>
      <c r="SHQ129"/>
      <c r="SHR129"/>
      <c r="SHS129"/>
      <c r="SHT129"/>
      <c r="SHU129"/>
      <c r="SHV129"/>
      <c r="SHW129"/>
      <c r="SHX129"/>
      <c r="SHY129"/>
      <c r="SHZ129"/>
      <c r="SIA129"/>
      <c r="SIB129"/>
      <c r="SIC129"/>
      <c r="SID129"/>
      <c r="SIE129"/>
      <c r="SIF129"/>
      <c r="SIG129"/>
      <c r="SIH129"/>
      <c r="SII129"/>
      <c r="SIJ129"/>
      <c r="SIK129"/>
      <c r="SIL129"/>
      <c r="SIM129"/>
      <c r="SIN129"/>
      <c r="SIO129"/>
      <c r="SIP129"/>
      <c r="SIQ129"/>
      <c r="SIR129"/>
      <c r="SIS129"/>
      <c r="SIT129"/>
      <c r="SIU129"/>
      <c r="SIV129"/>
      <c r="SIW129"/>
      <c r="SIX129"/>
      <c r="SIY129"/>
      <c r="SIZ129"/>
      <c r="SJA129"/>
      <c r="SJB129"/>
      <c r="SJC129"/>
      <c r="SJD129"/>
      <c r="SJE129"/>
      <c r="SJF129"/>
      <c r="SJG129"/>
      <c r="SJH129"/>
      <c r="SJI129"/>
      <c r="SJJ129"/>
      <c r="SJK129"/>
      <c r="SJL129"/>
      <c r="SJM129"/>
      <c r="SJN129"/>
      <c r="SJO129"/>
      <c r="SJP129"/>
      <c r="SJQ129"/>
      <c r="SJR129"/>
      <c r="SJS129"/>
      <c r="SJT129"/>
      <c r="SJU129"/>
      <c r="SJV129"/>
      <c r="SJW129"/>
      <c r="SJX129"/>
      <c r="SJY129"/>
      <c r="SJZ129"/>
      <c r="SKA129"/>
      <c r="SKB129"/>
      <c r="SKC129"/>
      <c r="SKD129"/>
      <c r="SKE129"/>
      <c r="SKF129"/>
      <c r="SKG129"/>
      <c r="SKH129"/>
      <c r="SKI129"/>
      <c r="SKJ129"/>
      <c r="SKK129"/>
      <c r="SKL129"/>
      <c r="SKM129"/>
      <c r="SKN129"/>
      <c r="SKO129"/>
      <c r="SKP129"/>
      <c r="SKQ129"/>
      <c r="SKR129"/>
      <c r="SKS129"/>
      <c r="SKT129"/>
      <c r="SKU129"/>
      <c r="SKV129"/>
      <c r="SKW129"/>
      <c r="SKX129"/>
      <c r="SKY129"/>
      <c r="SKZ129"/>
      <c r="SLA129"/>
      <c r="SLB129"/>
      <c r="SLC129"/>
      <c r="SLD129"/>
      <c r="SLE129"/>
      <c r="SLF129"/>
      <c r="SLG129"/>
      <c r="SLH129"/>
      <c r="SLI129"/>
      <c r="SLJ129"/>
      <c r="SLK129"/>
      <c r="SLL129"/>
      <c r="SLM129"/>
      <c r="SLN129"/>
      <c r="SLO129"/>
      <c r="SLP129"/>
      <c r="SLQ129"/>
      <c r="SLR129"/>
      <c r="SLS129"/>
      <c r="SLT129"/>
      <c r="SLU129"/>
      <c r="SLV129"/>
      <c r="SLW129"/>
      <c r="SLX129"/>
      <c r="SLY129"/>
      <c r="SLZ129"/>
      <c r="SMA129"/>
      <c r="SMB129"/>
      <c r="SMC129"/>
      <c r="SMD129"/>
      <c r="SME129"/>
      <c r="SMF129"/>
      <c r="SMG129"/>
      <c r="SMH129"/>
      <c r="SMI129"/>
      <c r="SMJ129"/>
      <c r="SMK129"/>
      <c r="SML129"/>
      <c r="SMM129"/>
      <c r="SMN129"/>
      <c r="SMO129"/>
      <c r="SMP129"/>
      <c r="SMQ129"/>
      <c r="SMR129"/>
      <c r="SMS129"/>
      <c r="SMT129"/>
      <c r="SMU129"/>
      <c r="SMV129"/>
      <c r="SMW129"/>
      <c r="SMX129"/>
      <c r="SMY129"/>
      <c r="SMZ129"/>
      <c r="SNA129"/>
      <c r="SNB129"/>
      <c r="SNC129"/>
      <c r="SND129"/>
      <c r="SNE129"/>
      <c r="SNF129"/>
      <c r="SNG129"/>
      <c r="SNH129"/>
      <c r="SNI129"/>
      <c r="SNJ129"/>
      <c r="SNK129"/>
      <c r="SNL129"/>
      <c r="SNM129"/>
      <c r="SNN129"/>
      <c r="SNO129"/>
      <c r="SNP129"/>
      <c r="SNQ129"/>
      <c r="SNR129"/>
      <c r="SNS129"/>
      <c r="SNT129"/>
      <c r="SNU129"/>
      <c r="SNV129"/>
      <c r="SNW129"/>
      <c r="SNX129"/>
      <c r="SNY129"/>
      <c r="SNZ129"/>
      <c r="SOA129"/>
      <c r="SOB129"/>
      <c r="SOC129"/>
      <c r="SOD129"/>
      <c r="SOE129"/>
      <c r="SOF129"/>
      <c r="SOG129"/>
      <c r="SOH129"/>
      <c r="SOI129"/>
      <c r="SOJ129"/>
      <c r="SOK129"/>
      <c r="SOL129"/>
      <c r="SOM129"/>
      <c r="SON129"/>
      <c r="SOO129"/>
      <c r="SOP129"/>
      <c r="SOQ129"/>
      <c r="SOR129"/>
      <c r="SOS129"/>
      <c r="SOT129"/>
      <c r="SOU129"/>
      <c r="SOV129"/>
      <c r="SOW129"/>
      <c r="SOX129"/>
      <c r="SOY129"/>
      <c r="SOZ129"/>
      <c r="SPA129"/>
      <c r="SPB129"/>
      <c r="SPC129"/>
      <c r="SPD129"/>
      <c r="SPE129"/>
      <c r="SPF129"/>
      <c r="SPG129"/>
      <c r="SPH129"/>
      <c r="SPI129"/>
      <c r="SPJ129"/>
      <c r="SPK129"/>
      <c r="SPL129"/>
      <c r="SPM129"/>
      <c r="SPN129"/>
      <c r="SPO129"/>
      <c r="SPP129"/>
      <c r="SPQ129"/>
      <c r="SPR129"/>
      <c r="SPS129"/>
      <c r="SPT129"/>
      <c r="SPU129"/>
      <c r="SPV129"/>
      <c r="SPW129"/>
      <c r="SPX129"/>
      <c r="SPY129"/>
      <c r="SPZ129"/>
      <c r="SQA129"/>
      <c r="SQB129"/>
      <c r="SQC129"/>
      <c r="SQD129"/>
      <c r="SQE129"/>
      <c r="SQF129"/>
      <c r="SQG129"/>
      <c r="SQH129"/>
      <c r="SQI129"/>
      <c r="SQJ129"/>
      <c r="SQK129"/>
      <c r="SQL129"/>
      <c r="SQM129"/>
      <c r="SQN129"/>
      <c r="SQO129"/>
      <c r="SQP129"/>
      <c r="SQQ129"/>
      <c r="SQR129"/>
      <c r="SQS129"/>
      <c r="SQT129"/>
      <c r="SQU129"/>
      <c r="SQV129"/>
      <c r="SQW129"/>
      <c r="SQX129"/>
      <c r="SQY129"/>
      <c r="SQZ129"/>
      <c r="SRA129"/>
      <c r="SRB129"/>
      <c r="SRC129"/>
      <c r="SRD129"/>
      <c r="SRE129"/>
      <c r="SRF129"/>
      <c r="SRG129"/>
      <c r="SRH129"/>
      <c r="SRI129"/>
      <c r="SRJ129"/>
      <c r="SRK129"/>
      <c r="SRL129"/>
      <c r="SRM129"/>
      <c r="SRN129"/>
      <c r="SRO129"/>
      <c r="SRP129"/>
      <c r="SRQ129"/>
      <c r="SRR129"/>
      <c r="SRS129"/>
      <c r="SRT129"/>
      <c r="SRU129"/>
      <c r="SRV129"/>
      <c r="SRW129"/>
      <c r="SRX129"/>
      <c r="SRY129"/>
      <c r="SRZ129"/>
      <c r="SSA129"/>
      <c r="SSB129"/>
      <c r="SSC129"/>
      <c r="SSD129"/>
      <c r="SSE129"/>
      <c r="SSF129"/>
      <c r="SSG129"/>
      <c r="SSH129"/>
      <c r="SSI129"/>
      <c r="SSJ129"/>
      <c r="SSK129"/>
      <c r="SSL129"/>
      <c r="SSM129"/>
      <c r="SSN129"/>
      <c r="SSO129"/>
      <c r="SSP129"/>
      <c r="SSQ129"/>
      <c r="SSR129"/>
      <c r="SSS129"/>
      <c r="SST129"/>
      <c r="SSU129"/>
      <c r="SSV129"/>
      <c r="SSW129"/>
      <c r="SSX129"/>
      <c r="SSY129"/>
      <c r="SSZ129"/>
      <c r="STA129"/>
      <c r="STB129"/>
      <c r="STC129"/>
      <c r="STD129"/>
      <c r="STE129"/>
      <c r="STF129"/>
      <c r="STG129"/>
      <c r="STH129"/>
      <c r="STI129"/>
      <c r="STJ129"/>
      <c r="STK129"/>
      <c r="STL129"/>
      <c r="STM129"/>
      <c r="STN129"/>
      <c r="STO129"/>
      <c r="STP129"/>
      <c r="STQ129"/>
      <c r="STR129"/>
      <c r="STS129"/>
      <c r="STT129"/>
      <c r="STU129"/>
      <c r="STV129"/>
      <c r="STW129"/>
      <c r="STX129"/>
      <c r="STY129"/>
      <c r="STZ129"/>
      <c r="SUA129"/>
      <c r="SUB129"/>
      <c r="SUC129"/>
      <c r="SUD129"/>
      <c r="SUE129"/>
      <c r="SUF129"/>
      <c r="SUG129"/>
      <c r="SUH129"/>
      <c r="SUI129"/>
      <c r="SUJ129"/>
      <c r="SUK129"/>
      <c r="SUL129"/>
      <c r="SUM129"/>
      <c r="SUN129"/>
      <c r="SUO129"/>
      <c r="SUP129"/>
      <c r="SUQ129"/>
      <c r="SUR129"/>
      <c r="SUS129"/>
      <c r="SUT129"/>
      <c r="SUU129"/>
      <c r="SUV129"/>
      <c r="SUW129"/>
      <c r="SUX129"/>
      <c r="SUY129"/>
      <c r="SUZ129"/>
      <c r="SVA129"/>
      <c r="SVB129"/>
      <c r="SVC129"/>
      <c r="SVD129"/>
      <c r="SVE129"/>
      <c r="SVF129"/>
      <c r="SVG129"/>
      <c r="SVH129"/>
      <c r="SVI129"/>
      <c r="SVJ129"/>
      <c r="SVK129"/>
      <c r="SVL129"/>
      <c r="SVM129"/>
      <c r="SVN129"/>
      <c r="SVO129"/>
      <c r="SVP129"/>
      <c r="SVQ129"/>
      <c r="SVR129"/>
      <c r="SVS129"/>
      <c r="SVT129"/>
      <c r="SVU129"/>
      <c r="SVV129"/>
      <c r="SVW129"/>
      <c r="SVX129"/>
      <c r="SVY129"/>
      <c r="SVZ129"/>
      <c r="SWA129"/>
      <c r="SWB129"/>
      <c r="SWC129"/>
      <c r="SWD129"/>
      <c r="SWE129"/>
      <c r="SWF129"/>
      <c r="SWG129"/>
      <c r="SWH129"/>
      <c r="SWI129"/>
      <c r="SWJ129"/>
      <c r="SWK129"/>
      <c r="SWL129"/>
      <c r="SWM129"/>
      <c r="SWN129"/>
      <c r="SWO129"/>
      <c r="SWP129"/>
      <c r="SWQ129"/>
      <c r="SWR129"/>
      <c r="SWS129"/>
      <c r="SWT129"/>
      <c r="SWU129"/>
      <c r="SWV129"/>
      <c r="SWW129"/>
      <c r="SWX129"/>
      <c r="SWY129"/>
      <c r="SWZ129"/>
      <c r="SXA129"/>
      <c r="SXB129"/>
      <c r="SXC129"/>
      <c r="SXD129"/>
      <c r="SXE129"/>
      <c r="SXF129"/>
      <c r="SXG129"/>
      <c r="SXH129"/>
      <c r="SXI129"/>
      <c r="SXJ129"/>
      <c r="SXK129"/>
      <c r="SXL129"/>
      <c r="SXM129"/>
      <c r="SXN129"/>
      <c r="SXO129"/>
      <c r="SXP129"/>
      <c r="SXQ129"/>
      <c r="SXR129"/>
      <c r="SXS129"/>
      <c r="SXT129"/>
      <c r="SXU129"/>
      <c r="SXV129"/>
      <c r="SXW129"/>
      <c r="SXX129"/>
      <c r="SXY129"/>
      <c r="SXZ129"/>
      <c r="SYA129"/>
      <c r="SYB129"/>
      <c r="SYC129"/>
      <c r="SYD129"/>
      <c r="SYE129"/>
      <c r="SYF129"/>
      <c r="SYG129"/>
      <c r="SYH129"/>
      <c r="SYI129"/>
      <c r="SYJ129"/>
      <c r="SYK129"/>
      <c r="SYL129"/>
      <c r="SYM129"/>
      <c r="SYN129"/>
      <c r="SYO129"/>
      <c r="SYP129"/>
      <c r="SYQ129"/>
      <c r="SYR129"/>
      <c r="SYS129"/>
      <c r="SYT129"/>
      <c r="SYU129"/>
      <c r="SYV129"/>
      <c r="SYW129"/>
      <c r="SYX129"/>
      <c r="SYY129"/>
      <c r="SYZ129"/>
      <c r="SZA129"/>
      <c r="SZB129"/>
      <c r="SZC129"/>
      <c r="SZD129"/>
      <c r="SZE129"/>
      <c r="SZF129"/>
      <c r="SZG129"/>
      <c r="SZH129"/>
      <c r="SZI129"/>
      <c r="SZJ129"/>
      <c r="SZK129"/>
      <c r="SZL129"/>
      <c r="SZM129"/>
      <c r="SZN129"/>
      <c r="SZO129"/>
      <c r="SZP129"/>
      <c r="SZQ129"/>
      <c r="SZR129"/>
      <c r="SZS129"/>
      <c r="SZT129"/>
      <c r="SZU129"/>
      <c r="SZV129"/>
      <c r="SZW129"/>
      <c r="SZX129"/>
      <c r="SZY129"/>
      <c r="SZZ129"/>
      <c r="TAA129"/>
      <c r="TAB129"/>
      <c r="TAC129"/>
      <c r="TAD129"/>
      <c r="TAE129"/>
      <c r="TAF129"/>
      <c r="TAG129"/>
      <c r="TAH129"/>
      <c r="TAI129"/>
      <c r="TAJ129"/>
      <c r="TAK129"/>
      <c r="TAL129"/>
      <c r="TAM129"/>
      <c r="TAN129"/>
      <c r="TAO129"/>
      <c r="TAP129"/>
      <c r="TAQ129"/>
      <c r="TAR129"/>
      <c r="TAS129"/>
      <c r="TAT129"/>
      <c r="TAU129"/>
      <c r="TAV129"/>
      <c r="TAW129"/>
      <c r="TAX129"/>
      <c r="TAY129"/>
      <c r="TAZ129"/>
      <c r="TBA129"/>
      <c r="TBB129"/>
      <c r="TBC129"/>
      <c r="TBD129"/>
      <c r="TBE129"/>
      <c r="TBF129"/>
      <c r="TBG129"/>
      <c r="TBH129"/>
      <c r="TBI129"/>
      <c r="TBJ129"/>
      <c r="TBK129"/>
      <c r="TBL129"/>
      <c r="TBM129"/>
      <c r="TBN129"/>
      <c r="TBO129"/>
      <c r="TBP129"/>
      <c r="TBQ129"/>
      <c r="TBR129"/>
      <c r="TBS129"/>
      <c r="TBT129"/>
      <c r="TBU129"/>
      <c r="TBV129"/>
      <c r="TBW129"/>
      <c r="TBX129"/>
      <c r="TBY129"/>
      <c r="TBZ129"/>
      <c r="TCA129"/>
      <c r="TCB129"/>
      <c r="TCC129"/>
      <c r="TCD129"/>
      <c r="TCE129"/>
      <c r="TCF129"/>
      <c r="TCG129"/>
      <c r="TCH129"/>
      <c r="TCI129"/>
      <c r="TCJ129"/>
      <c r="TCK129"/>
      <c r="TCL129"/>
      <c r="TCM129"/>
      <c r="TCN129"/>
      <c r="TCO129"/>
      <c r="TCP129"/>
      <c r="TCQ129"/>
      <c r="TCR129"/>
      <c r="TCS129"/>
      <c r="TCT129"/>
      <c r="TCU129"/>
      <c r="TCV129"/>
      <c r="TCW129"/>
      <c r="TCX129"/>
      <c r="TCY129"/>
      <c r="TCZ129"/>
      <c r="TDA129"/>
      <c r="TDB129"/>
      <c r="TDC129"/>
      <c r="TDD129"/>
      <c r="TDE129"/>
      <c r="TDF129"/>
      <c r="TDG129"/>
      <c r="TDH129"/>
      <c r="TDI129"/>
      <c r="TDJ129"/>
      <c r="TDK129"/>
      <c r="TDL129"/>
      <c r="TDM129"/>
      <c r="TDN129"/>
      <c r="TDO129"/>
      <c r="TDP129"/>
      <c r="TDQ129"/>
      <c r="TDR129"/>
      <c r="TDS129"/>
      <c r="TDT129"/>
      <c r="TDU129"/>
      <c r="TDV129"/>
      <c r="TDW129"/>
      <c r="TDX129"/>
      <c r="TDY129"/>
      <c r="TDZ129"/>
      <c r="TEA129"/>
      <c r="TEB129"/>
      <c r="TEC129"/>
      <c r="TED129"/>
      <c r="TEE129"/>
      <c r="TEF129"/>
      <c r="TEG129"/>
      <c r="TEH129"/>
      <c r="TEI129"/>
      <c r="TEJ129"/>
      <c r="TEK129"/>
      <c r="TEL129"/>
      <c r="TEM129"/>
      <c r="TEN129"/>
      <c r="TEO129"/>
      <c r="TEP129"/>
      <c r="TEQ129"/>
      <c r="TER129"/>
      <c r="TES129"/>
      <c r="TET129"/>
      <c r="TEU129"/>
      <c r="TEV129"/>
      <c r="TEW129"/>
      <c r="TEX129"/>
      <c r="TEY129"/>
      <c r="TEZ129"/>
      <c r="TFA129"/>
      <c r="TFB129"/>
      <c r="TFC129"/>
      <c r="TFD129"/>
      <c r="TFE129"/>
      <c r="TFF129"/>
      <c r="TFG129"/>
      <c r="TFH129"/>
      <c r="TFI129"/>
      <c r="TFJ129"/>
      <c r="TFK129"/>
      <c r="TFL129"/>
      <c r="TFM129"/>
      <c r="TFN129"/>
      <c r="TFO129"/>
      <c r="TFP129"/>
      <c r="TFQ129"/>
      <c r="TFR129"/>
      <c r="TFS129"/>
      <c r="TFT129"/>
      <c r="TFU129"/>
      <c r="TFV129"/>
      <c r="TFW129"/>
      <c r="TFX129"/>
      <c r="TFY129"/>
      <c r="TFZ129"/>
      <c r="TGA129"/>
      <c r="TGB129"/>
      <c r="TGC129"/>
      <c r="TGD129"/>
      <c r="TGE129"/>
      <c r="TGF129"/>
      <c r="TGG129"/>
      <c r="TGH129"/>
      <c r="TGI129"/>
      <c r="TGJ129"/>
      <c r="TGK129"/>
      <c r="TGL129"/>
      <c r="TGM129"/>
      <c r="TGN129"/>
      <c r="TGO129"/>
      <c r="TGP129"/>
      <c r="TGQ129"/>
      <c r="TGR129"/>
      <c r="TGS129"/>
      <c r="TGT129"/>
      <c r="TGU129"/>
      <c r="TGV129"/>
      <c r="TGW129"/>
      <c r="TGX129"/>
      <c r="TGY129"/>
      <c r="TGZ129"/>
      <c r="THA129"/>
      <c r="THB129"/>
      <c r="THC129"/>
      <c r="THD129"/>
      <c r="THE129"/>
      <c r="THF129"/>
      <c r="THG129"/>
      <c r="THH129"/>
      <c r="THI129"/>
      <c r="THJ129"/>
      <c r="THK129"/>
      <c r="THL129"/>
      <c r="THM129"/>
      <c r="THN129"/>
      <c r="THO129"/>
      <c r="THP129"/>
      <c r="THQ129"/>
      <c r="THR129"/>
      <c r="THS129"/>
      <c r="THT129"/>
      <c r="THU129"/>
      <c r="THV129"/>
      <c r="THW129"/>
      <c r="THX129"/>
      <c r="THY129"/>
      <c r="THZ129"/>
      <c r="TIA129"/>
      <c r="TIB129"/>
      <c r="TIC129"/>
      <c r="TID129"/>
      <c r="TIE129"/>
      <c r="TIF129"/>
      <c r="TIG129"/>
      <c r="TIH129"/>
      <c r="TII129"/>
      <c r="TIJ129"/>
      <c r="TIK129"/>
      <c r="TIL129"/>
      <c r="TIM129"/>
      <c r="TIN129"/>
      <c r="TIO129"/>
      <c r="TIP129"/>
      <c r="TIQ129"/>
      <c r="TIR129"/>
      <c r="TIS129"/>
      <c r="TIT129"/>
      <c r="TIU129"/>
      <c r="TIV129"/>
      <c r="TIW129"/>
      <c r="TIX129"/>
      <c r="TIY129"/>
      <c r="TIZ129"/>
      <c r="TJA129"/>
      <c r="TJB129"/>
      <c r="TJC129"/>
      <c r="TJD129"/>
      <c r="TJE129"/>
      <c r="TJF129"/>
      <c r="TJG129"/>
      <c r="TJH129"/>
      <c r="TJI129"/>
      <c r="TJJ129"/>
      <c r="TJK129"/>
      <c r="TJL129"/>
      <c r="TJM129"/>
      <c r="TJN129"/>
      <c r="TJO129"/>
      <c r="TJP129"/>
      <c r="TJQ129"/>
      <c r="TJR129"/>
      <c r="TJS129"/>
      <c r="TJT129"/>
      <c r="TJU129"/>
      <c r="TJV129"/>
      <c r="TJW129"/>
      <c r="TJX129"/>
      <c r="TJY129"/>
      <c r="TJZ129"/>
      <c r="TKA129"/>
      <c r="TKB129"/>
      <c r="TKC129"/>
      <c r="TKD129"/>
      <c r="TKE129"/>
      <c r="TKF129"/>
      <c r="TKG129"/>
      <c r="TKH129"/>
      <c r="TKI129"/>
      <c r="TKJ129"/>
      <c r="TKK129"/>
      <c r="TKL129"/>
      <c r="TKM129"/>
      <c r="TKN129"/>
      <c r="TKO129"/>
      <c r="TKP129"/>
      <c r="TKQ129"/>
      <c r="TKR129"/>
      <c r="TKS129"/>
      <c r="TKT129"/>
      <c r="TKU129"/>
      <c r="TKV129"/>
      <c r="TKW129"/>
      <c r="TKX129"/>
      <c r="TKY129"/>
      <c r="TKZ129"/>
      <c r="TLA129"/>
      <c r="TLB129"/>
      <c r="TLC129"/>
      <c r="TLD129"/>
      <c r="TLE129"/>
      <c r="TLF129"/>
      <c r="TLG129"/>
      <c r="TLH129"/>
      <c r="TLI129"/>
      <c r="TLJ129"/>
      <c r="TLK129"/>
      <c r="TLL129"/>
      <c r="TLM129"/>
      <c r="TLN129"/>
      <c r="TLO129"/>
      <c r="TLP129"/>
      <c r="TLQ129"/>
      <c r="TLR129"/>
      <c r="TLS129"/>
      <c r="TLT129"/>
      <c r="TLU129"/>
      <c r="TLV129"/>
      <c r="TLW129"/>
      <c r="TLX129"/>
      <c r="TLY129"/>
      <c r="TLZ129"/>
      <c r="TMA129"/>
      <c r="TMB129"/>
      <c r="TMC129"/>
      <c r="TMD129"/>
      <c r="TME129"/>
      <c r="TMF129"/>
      <c r="TMG129"/>
      <c r="TMH129"/>
      <c r="TMI129"/>
      <c r="TMJ129"/>
      <c r="TMK129"/>
      <c r="TML129"/>
      <c r="TMM129"/>
      <c r="TMN129"/>
      <c r="TMO129"/>
      <c r="TMP129"/>
      <c r="TMQ129"/>
      <c r="TMR129"/>
      <c r="TMS129"/>
      <c r="TMT129"/>
      <c r="TMU129"/>
      <c r="TMV129"/>
      <c r="TMW129"/>
      <c r="TMX129"/>
      <c r="TMY129"/>
      <c r="TMZ129"/>
      <c r="TNA129"/>
      <c r="TNB129"/>
      <c r="TNC129"/>
      <c r="TND129"/>
      <c r="TNE129"/>
      <c r="TNF129"/>
      <c r="TNG129"/>
      <c r="TNH129"/>
      <c r="TNI129"/>
      <c r="TNJ129"/>
      <c r="TNK129"/>
      <c r="TNL129"/>
      <c r="TNM129"/>
      <c r="TNN129"/>
      <c r="TNO129"/>
      <c r="TNP129"/>
      <c r="TNQ129"/>
      <c r="TNR129"/>
      <c r="TNS129"/>
      <c r="TNT129"/>
      <c r="TNU129"/>
      <c r="TNV129"/>
      <c r="TNW129"/>
      <c r="TNX129"/>
      <c r="TNY129"/>
      <c r="TNZ129"/>
      <c r="TOA129"/>
      <c r="TOB129"/>
      <c r="TOC129"/>
      <c r="TOD129"/>
      <c r="TOE129"/>
      <c r="TOF129"/>
      <c r="TOG129"/>
      <c r="TOH129"/>
      <c r="TOI129"/>
      <c r="TOJ129"/>
      <c r="TOK129"/>
      <c r="TOL129"/>
      <c r="TOM129"/>
      <c r="TON129"/>
      <c r="TOO129"/>
      <c r="TOP129"/>
      <c r="TOQ129"/>
      <c r="TOR129"/>
      <c r="TOS129"/>
      <c r="TOT129"/>
      <c r="TOU129"/>
      <c r="TOV129"/>
      <c r="TOW129"/>
      <c r="TOX129"/>
      <c r="TOY129"/>
      <c r="TOZ129"/>
      <c r="TPA129"/>
      <c r="TPB129"/>
      <c r="TPC129"/>
      <c r="TPD129"/>
      <c r="TPE129"/>
      <c r="TPF129"/>
      <c r="TPG129"/>
      <c r="TPH129"/>
      <c r="TPI129"/>
      <c r="TPJ129"/>
      <c r="TPK129"/>
      <c r="TPL129"/>
      <c r="TPM129"/>
      <c r="TPN129"/>
      <c r="TPO129"/>
      <c r="TPP129"/>
      <c r="TPQ129"/>
      <c r="TPR129"/>
      <c r="TPS129"/>
      <c r="TPT129"/>
      <c r="TPU129"/>
      <c r="TPV129"/>
      <c r="TPW129"/>
      <c r="TPX129"/>
      <c r="TPY129"/>
      <c r="TPZ129"/>
      <c r="TQA129"/>
      <c r="TQB129"/>
      <c r="TQC129"/>
      <c r="TQD129"/>
      <c r="TQE129"/>
      <c r="TQF129"/>
      <c r="TQG129"/>
      <c r="TQH129"/>
      <c r="TQI129"/>
      <c r="TQJ129"/>
      <c r="TQK129"/>
      <c r="TQL129"/>
      <c r="TQM129"/>
      <c r="TQN129"/>
      <c r="TQO129"/>
      <c r="TQP129"/>
      <c r="TQQ129"/>
      <c r="TQR129"/>
      <c r="TQS129"/>
      <c r="TQT129"/>
      <c r="TQU129"/>
      <c r="TQV129"/>
      <c r="TQW129"/>
      <c r="TQX129"/>
      <c r="TQY129"/>
      <c r="TQZ129"/>
      <c r="TRA129"/>
      <c r="TRB129"/>
      <c r="TRC129"/>
      <c r="TRD129"/>
      <c r="TRE129"/>
      <c r="TRF129"/>
      <c r="TRG129"/>
      <c r="TRH129"/>
      <c r="TRI129"/>
      <c r="TRJ129"/>
      <c r="TRK129"/>
      <c r="TRL129"/>
      <c r="TRM129"/>
      <c r="TRN129"/>
      <c r="TRO129"/>
      <c r="TRP129"/>
      <c r="TRQ129"/>
      <c r="TRR129"/>
      <c r="TRS129"/>
      <c r="TRT129"/>
      <c r="TRU129"/>
      <c r="TRV129"/>
      <c r="TRW129"/>
      <c r="TRX129"/>
      <c r="TRY129"/>
      <c r="TRZ129"/>
      <c r="TSA129"/>
      <c r="TSB129"/>
      <c r="TSC129"/>
      <c r="TSD129"/>
      <c r="TSE129"/>
      <c r="TSF129"/>
      <c r="TSG129"/>
      <c r="TSH129"/>
      <c r="TSI129"/>
      <c r="TSJ129"/>
      <c r="TSK129"/>
      <c r="TSL129"/>
      <c r="TSM129"/>
      <c r="TSN129"/>
      <c r="TSO129"/>
      <c r="TSP129"/>
      <c r="TSQ129"/>
      <c r="TSR129"/>
      <c r="TSS129"/>
      <c r="TST129"/>
      <c r="TSU129"/>
      <c r="TSV129"/>
      <c r="TSW129"/>
      <c r="TSX129"/>
      <c r="TSY129"/>
      <c r="TSZ129"/>
      <c r="TTA129"/>
      <c r="TTB129"/>
      <c r="TTC129"/>
      <c r="TTD129"/>
      <c r="TTE129"/>
      <c r="TTF129"/>
      <c r="TTG129"/>
      <c r="TTH129"/>
      <c r="TTI129"/>
      <c r="TTJ129"/>
      <c r="TTK129"/>
      <c r="TTL129"/>
      <c r="TTM129"/>
      <c r="TTN129"/>
      <c r="TTO129"/>
      <c r="TTP129"/>
      <c r="TTQ129"/>
      <c r="TTR129"/>
      <c r="TTS129"/>
      <c r="TTT129"/>
      <c r="TTU129"/>
      <c r="TTV129"/>
      <c r="TTW129"/>
      <c r="TTX129"/>
      <c r="TTY129"/>
      <c r="TTZ129"/>
      <c r="TUA129"/>
      <c r="TUB129"/>
      <c r="TUC129"/>
      <c r="TUD129"/>
      <c r="TUE129"/>
      <c r="TUF129"/>
      <c r="TUG129"/>
      <c r="TUH129"/>
      <c r="TUI129"/>
      <c r="TUJ129"/>
      <c r="TUK129"/>
      <c r="TUL129"/>
      <c r="TUM129"/>
      <c r="TUN129"/>
      <c r="TUO129"/>
      <c r="TUP129"/>
      <c r="TUQ129"/>
      <c r="TUR129"/>
      <c r="TUS129"/>
      <c r="TUT129"/>
      <c r="TUU129"/>
      <c r="TUV129"/>
      <c r="TUW129"/>
      <c r="TUX129"/>
      <c r="TUY129"/>
      <c r="TUZ129"/>
      <c r="TVA129"/>
      <c r="TVB129"/>
      <c r="TVC129"/>
      <c r="TVD129"/>
      <c r="TVE129"/>
      <c r="TVF129"/>
      <c r="TVG129"/>
      <c r="TVH129"/>
      <c r="TVI129"/>
      <c r="TVJ129"/>
      <c r="TVK129"/>
      <c r="TVL129"/>
      <c r="TVM129"/>
      <c r="TVN129"/>
      <c r="TVO129"/>
      <c r="TVP129"/>
      <c r="TVQ129"/>
      <c r="TVR129"/>
      <c r="TVS129"/>
      <c r="TVT129"/>
      <c r="TVU129"/>
      <c r="TVV129"/>
      <c r="TVW129"/>
      <c r="TVX129"/>
      <c r="TVY129"/>
      <c r="TVZ129"/>
      <c r="TWA129"/>
      <c r="TWB129"/>
      <c r="TWC129"/>
      <c r="TWD129"/>
      <c r="TWE129"/>
      <c r="TWF129"/>
      <c r="TWG129"/>
      <c r="TWH129"/>
      <c r="TWI129"/>
      <c r="TWJ129"/>
      <c r="TWK129"/>
      <c r="TWL129"/>
      <c r="TWM129"/>
      <c r="TWN129"/>
      <c r="TWO129"/>
      <c r="TWP129"/>
      <c r="TWQ129"/>
      <c r="TWR129"/>
      <c r="TWS129"/>
      <c r="TWT129"/>
      <c r="TWU129"/>
      <c r="TWV129"/>
      <c r="TWW129"/>
      <c r="TWX129"/>
      <c r="TWY129"/>
      <c r="TWZ129"/>
      <c r="TXA129"/>
      <c r="TXB129"/>
      <c r="TXC129"/>
      <c r="TXD129"/>
      <c r="TXE129"/>
      <c r="TXF129"/>
      <c r="TXG129"/>
      <c r="TXH129"/>
      <c r="TXI129"/>
      <c r="TXJ129"/>
      <c r="TXK129"/>
      <c r="TXL129"/>
      <c r="TXM129"/>
      <c r="TXN129"/>
      <c r="TXO129"/>
      <c r="TXP129"/>
      <c r="TXQ129"/>
      <c r="TXR129"/>
      <c r="TXS129"/>
      <c r="TXT129"/>
      <c r="TXU129"/>
      <c r="TXV129"/>
      <c r="TXW129"/>
      <c r="TXX129"/>
      <c r="TXY129"/>
      <c r="TXZ129"/>
      <c r="TYA129"/>
      <c r="TYB129"/>
      <c r="TYC129"/>
      <c r="TYD129"/>
      <c r="TYE129"/>
      <c r="TYF129"/>
      <c r="TYG129"/>
      <c r="TYH129"/>
      <c r="TYI129"/>
      <c r="TYJ129"/>
      <c r="TYK129"/>
      <c r="TYL129"/>
      <c r="TYM129"/>
      <c r="TYN129"/>
      <c r="TYO129"/>
      <c r="TYP129"/>
      <c r="TYQ129"/>
      <c r="TYR129"/>
      <c r="TYS129"/>
      <c r="TYT129"/>
      <c r="TYU129"/>
      <c r="TYV129"/>
      <c r="TYW129"/>
      <c r="TYX129"/>
      <c r="TYY129"/>
      <c r="TYZ129"/>
      <c r="TZA129"/>
      <c r="TZB129"/>
      <c r="TZC129"/>
      <c r="TZD129"/>
      <c r="TZE129"/>
      <c r="TZF129"/>
      <c r="TZG129"/>
      <c r="TZH129"/>
      <c r="TZI129"/>
      <c r="TZJ129"/>
      <c r="TZK129"/>
      <c r="TZL129"/>
      <c r="TZM129"/>
      <c r="TZN129"/>
      <c r="TZO129"/>
      <c r="TZP129"/>
      <c r="TZQ129"/>
      <c r="TZR129"/>
      <c r="TZS129"/>
      <c r="TZT129"/>
      <c r="TZU129"/>
      <c r="TZV129"/>
      <c r="TZW129"/>
      <c r="TZX129"/>
      <c r="TZY129"/>
      <c r="TZZ129"/>
      <c r="UAA129"/>
      <c r="UAB129"/>
      <c r="UAC129"/>
      <c r="UAD129"/>
      <c r="UAE129"/>
      <c r="UAF129"/>
      <c r="UAG129"/>
      <c r="UAH129"/>
      <c r="UAI129"/>
      <c r="UAJ129"/>
      <c r="UAK129"/>
      <c r="UAL129"/>
      <c r="UAM129"/>
      <c r="UAN129"/>
      <c r="UAO129"/>
      <c r="UAP129"/>
      <c r="UAQ129"/>
      <c r="UAR129"/>
      <c r="UAS129"/>
      <c r="UAT129"/>
      <c r="UAU129"/>
      <c r="UAV129"/>
      <c r="UAW129"/>
      <c r="UAX129"/>
      <c r="UAY129"/>
      <c r="UAZ129"/>
      <c r="UBA129"/>
      <c r="UBB129"/>
      <c r="UBC129"/>
      <c r="UBD129"/>
      <c r="UBE129"/>
      <c r="UBF129"/>
      <c r="UBG129"/>
      <c r="UBH129"/>
      <c r="UBI129"/>
      <c r="UBJ129"/>
      <c r="UBK129"/>
      <c r="UBL129"/>
      <c r="UBM129"/>
      <c r="UBN129"/>
      <c r="UBO129"/>
      <c r="UBP129"/>
      <c r="UBQ129"/>
      <c r="UBR129"/>
      <c r="UBS129"/>
      <c r="UBT129"/>
      <c r="UBU129"/>
      <c r="UBV129"/>
      <c r="UBW129"/>
      <c r="UBX129"/>
      <c r="UBY129"/>
      <c r="UBZ129"/>
      <c r="UCA129"/>
      <c r="UCB129"/>
      <c r="UCC129"/>
      <c r="UCD129"/>
      <c r="UCE129"/>
      <c r="UCF129"/>
      <c r="UCG129"/>
      <c r="UCH129"/>
      <c r="UCI129"/>
      <c r="UCJ129"/>
      <c r="UCK129"/>
      <c r="UCL129"/>
      <c r="UCM129"/>
      <c r="UCN129"/>
      <c r="UCO129"/>
      <c r="UCP129"/>
      <c r="UCQ129"/>
      <c r="UCR129"/>
      <c r="UCS129"/>
      <c r="UCT129"/>
      <c r="UCU129"/>
      <c r="UCV129"/>
      <c r="UCW129"/>
      <c r="UCX129"/>
      <c r="UCY129"/>
      <c r="UCZ129"/>
      <c r="UDA129"/>
      <c r="UDB129"/>
      <c r="UDC129"/>
      <c r="UDD129"/>
      <c r="UDE129"/>
      <c r="UDF129"/>
      <c r="UDG129"/>
      <c r="UDH129"/>
      <c r="UDI129"/>
      <c r="UDJ129"/>
      <c r="UDK129"/>
      <c r="UDL129"/>
      <c r="UDM129"/>
      <c r="UDN129"/>
      <c r="UDO129"/>
      <c r="UDP129"/>
      <c r="UDQ129"/>
      <c r="UDR129"/>
      <c r="UDS129"/>
      <c r="UDT129"/>
      <c r="UDU129"/>
      <c r="UDV129"/>
      <c r="UDW129"/>
      <c r="UDX129"/>
      <c r="UDY129"/>
      <c r="UDZ129"/>
      <c r="UEA129"/>
      <c r="UEB129"/>
      <c r="UEC129"/>
      <c r="UED129"/>
      <c r="UEE129"/>
      <c r="UEF129"/>
      <c r="UEG129"/>
      <c r="UEH129"/>
      <c r="UEI129"/>
      <c r="UEJ129"/>
      <c r="UEK129"/>
      <c r="UEL129"/>
      <c r="UEM129"/>
      <c r="UEN129"/>
      <c r="UEO129"/>
      <c r="UEP129"/>
      <c r="UEQ129"/>
      <c r="UER129"/>
      <c r="UES129"/>
      <c r="UET129"/>
      <c r="UEU129"/>
      <c r="UEV129"/>
      <c r="UEW129"/>
      <c r="UEX129"/>
      <c r="UEY129"/>
      <c r="UEZ129"/>
      <c r="UFA129"/>
      <c r="UFB129"/>
      <c r="UFC129"/>
      <c r="UFD129"/>
      <c r="UFE129"/>
      <c r="UFF129"/>
      <c r="UFG129"/>
      <c r="UFH129"/>
      <c r="UFI129"/>
      <c r="UFJ129"/>
      <c r="UFK129"/>
      <c r="UFL129"/>
      <c r="UFM129"/>
      <c r="UFN129"/>
      <c r="UFO129"/>
      <c r="UFP129"/>
      <c r="UFQ129"/>
      <c r="UFR129"/>
      <c r="UFS129"/>
      <c r="UFT129"/>
      <c r="UFU129"/>
      <c r="UFV129"/>
      <c r="UFW129"/>
      <c r="UFX129"/>
      <c r="UFY129"/>
      <c r="UFZ129"/>
      <c r="UGA129"/>
      <c r="UGB129"/>
      <c r="UGC129"/>
      <c r="UGD129"/>
      <c r="UGE129"/>
      <c r="UGF129"/>
      <c r="UGG129"/>
      <c r="UGH129"/>
      <c r="UGI129"/>
      <c r="UGJ129"/>
      <c r="UGK129"/>
      <c r="UGL129"/>
      <c r="UGM129"/>
      <c r="UGN129"/>
      <c r="UGO129"/>
      <c r="UGP129"/>
      <c r="UGQ129"/>
      <c r="UGR129"/>
      <c r="UGS129"/>
      <c r="UGT129"/>
      <c r="UGU129"/>
      <c r="UGV129"/>
      <c r="UGW129"/>
      <c r="UGX129"/>
      <c r="UGY129"/>
      <c r="UGZ129"/>
      <c r="UHA129"/>
      <c r="UHB129"/>
      <c r="UHC129"/>
      <c r="UHD129"/>
      <c r="UHE129"/>
      <c r="UHF129"/>
      <c r="UHG129"/>
      <c r="UHH129"/>
      <c r="UHI129"/>
      <c r="UHJ129"/>
      <c r="UHK129"/>
      <c r="UHL129"/>
      <c r="UHM129"/>
      <c r="UHN129"/>
      <c r="UHO129"/>
      <c r="UHP129"/>
      <c r="UHQ129"/>
      <c r="UHR129"/>
      <c r="UHS129"/>
      <c r="UHT129"/>
      <c r="UHU129"/>
      <c r="UHV129"/>
      <c r="UHW129"/>
      <c r="UHX129"/>
      <c r="UHY129"/>
      <c r="UHZ129"/>
      <c r="UIA129"/>
      <c r="UIB129"/>
      <c r="UIC129"/>
      <c r="UID129"/>
      <c r="UIE129"/>
      <c r="UIF129"/>
      <c r="UIG129"/>
      <c r="UIH129"/>
      <c r="UII129"/>
      <c r="UIJ129"/>
      <c r="UIK129"/>
      <c r="UIL129"/>
      <c r="UIM129"/>
      <c r="UIN129"/>
      <c r="UIO129"/>
      <c r="UIP129"/>
      <c r="UIQ129"/>
      <c r="UIR129"/>
      <c r="UIS129"/>
      <c r="UIT129"/>
      <c r="UIU129"/>
      <c r="UIV129"/>
      <c r="UIW129"/>
      <c r="UIX129"/>
      <c r="UIY129"/>
      <c r="UIZ129"/>
      <c r="UJA129"/>
      <c r="UJB129"/>
      <c r="UJC129"/>
      <c r="UJD129"/>
      <c r="UJE129"/>
      <c r="UJF129"/>
      <c r="UJG129"/>
      <c r="UJH129"/>
      <c r="UJI129"/>
      <c r="UJJ129"/>
      <c r="UJK129"/>
      <c r="UJL129"/>
      <c r="UJM129"/>
      <c r="UJN129"/>
      <c r="UJO129"/>
      <c r="UJP129"/>
      <c r="UJQ129"/>
      <c r="UJR129"/>
      <c r="UJS129"/>
      <c r="UJT129"/>
      <c r="UJU129"/>
      <c r="UJV129"/>
      <c r="UJW129"/>
      <c r="UJX129"/>
      <c r="UJY129"/>
      <c r="UJZ129"/>
      <c r="UKA129"/>
      <c r="UKB129"/>
      <c r="UKC129"/>
      <c r="UKD129"/>
      <c r="UKE129"/>
      <c r="UKF129"/>
      <c r="UKG129"/>
      <c r="UKH129"/>
      <c r="UKI129"/>
      <c r="UKJ129"/>
      <c r="UKK129"/>
      <c r="UKL129"/>
      <c r="UKM129"/>
      <c r="UKN129"/>
      <c r="UKO129"/>
      <c r="UKP129"/>
      <c r="UKQ129"/>
      <c r="UKR129"/>
      <c r="UKS129"/>
      <c r="UKT129"/>
      <c r="UKU129"/>
      <c r="UKV129"/>
      <c r="UKW129"/>
      <c r="UKX129"/>
      <c r="UKY129"/>
      <c r="UKZ129"/>
      <c r="ULA129"/>
      <c r="ULB129"/>
      <c r="ULC129"/>
      <c r="ULD129"/>
      <c r="ULE129"/>
      <c r="ULF129"/>
      <c r="ULG129"/>
      <c r="ULH129"/>
      <c r="ULI129"/>
      <c r="ULJ129"/>
      <c r="ULK129"/>
      <c r="ULL129"/>
      <c r="ULM129"/>
      <c r="ULN129"/>
      <c r="ULO129"/>
      <c r="ULP129"/>
      <c r="ULQ129"/>
      <c r="ULR129"/>
      <c r="ULS129"/>
      <c r="ULT129"/>
      <c r="ULU129"/>
      <c r="ULV129"/>
      <c r="ULW129"/>
      <c r="ULX129"/>
      <c r="ULY129"/>
      <c r="ULZ129"/>
      <c r="UMA129"/>
      <c r="UMB129"/>
      <c r="UMC129"/>
      <c r="UMD129"/>
      <c r="UME129"/>
      <c r="UMF129"/>
      <c r="UMG129"/>
      <c r="UMH129"/>
      <c r="UMI129"/>
      <c r="UMJ129"/>
      <c r="UMK129"/>
      <c r="UML129"/>
      <c r="UMM129"/>
      <c r="UMN129"/>
      <c r="UMO129"/>
      <c r="UMP129"/>
      <c r="UMQ129"/>
      <c r="UMR129"/>
      <c r="UMS129"/>
      <c r="UMT129"/>
      <c r="UMU129"/>
      <c r="UMV129"/>
      <c r="UMW129"/>
      <c r="UMX129"/>
      <c r="UMY129"/>
      <c r="UMZ129"/>
      <c r="UNA129"/>
      <c r="UNB129"/>
      <c r="UNC129"/>
      <c r="UND129"/>
      <c r="UNE129"/>
      <c r="UNF129"/>
      <c r="UNG129"/>
      <c r="UNH129"/>
      <c r="UNI129"/>
      <c r="UNJ129"/>
      <c r="UNK129"/>
      <c r="UNL129"/>
      <c r="UNM129"/>
      <c r="UNN129"/>
      <c r="UNO129"/>
      <c r="UNP129"/>
      <c r="UNQ129"/>
      <c r="UNR129"/>
      <c r="UNS129"/>
      <c r="UNT129"/>
      <c r="UNU129"/>
      <c r="UNV129"/>
      <c r="UNW129"/>
      <c r="UNX129"/>
      <c r="UNY129"/>
      <c r="UNZ129"/>
      <c r="UOA129"/>
      <c r="UOB129"/>
      <c r="UOC129"/>
      <c r="UOD129"/>
      <c r="UOE129"/>
      <c r="UOF129"/>
      <c r="UOG129"/>
      <c r="UOH129"/>
      <c r="UOI129"/>
      <c r="UOJ129"/>
      <c r="UOK129"/>
      <c r="UOL129"/>
      <c r="UOM129"/>
      <c r="UON129"/>
      <c r="UOO129"/>
      <c r="UOP129"/>
      <c r="UOQ129"/>
      <c r="UOR129"/>
      <c r="UOS129"/>
      <c r="UOT129"/>
      <c r="UOU129"/>
      <c r="UOV129"/>
      <c r="UOW129"/>
      <c r="UOX129"/>
      <c r="UOY129"/>
      <c r="UOZ129"/>
      <c r="UPA129"/>
      <c r="UPB129"/>
      <c r="UPC129"/>
      <c r="UPD129"/>
      <c r="UPE129"/>
      <c r="UPF129"/>
      <c r="UPG129"/>
      <c r="UPH129"/>
      <c r="UPI129"/>
      <c r="UPJ129"/>
      <c r="UPK129"/>
      <c r="UPL129"/>
      <c r="UPM129"/>
      <c r="UPN129"/>
      <c r="UPO129"/>
      <c r="UPP129"/>
      <c r="UPQ129"/>
      <c r="UPR129"/>
      <c r="UPS129"/>
      <c r="UPT129"/>
      <c r="UPU129"/>
      <c r="UPV129"/>
      <c r="UPW129"/>
      <c r="UPX129"/>
      <c r="UPY129"/>
      <c r="UPZ129"/>
      <c r="UQA129"/>
      <c r="UQB129"/>
      <c r="UQC129"/>
      <c r="UQD129"/>
      <c r="UQE129"/>
      <c r="UQF129"/>
      <c r="UQG129"/>
      <c r="UQH129"/>
      <c r="UQI129"/>
      <c r="UQJ129"/>
      <c r="UQK129"/>
      <c r="UQL129"/>
      <c r="UQM129"/>
      <c r="UQN129"/>
      <c r="UQO129"/>
      <c r="UQP129"/>
      <c r="UQQ129"/>
      <c r="UQR129"/>
      <c r="UQS129"/>
      <c r="UQT129"/>
      <c r="UQU129"/>
      <c r="UQV129"/>
      <c r="UQW129"/>
      <c r="UQX129"/>
      <c r="UQY129"/>
      <c r="UQZ129"/>
      <c r="URA129"/>
      <c r="URB129"/>
      <c r="URC129"/>
      <c r="URD129"/>
      <c r="URE129"/>
      <c r="URF129"/>
      <c r="URG129"/>
      <c r="URH129"/>
      <c r="URI129"/>
      <c r="URJ129"/>
      <c r="URK129"/>
      <c r="URL129"/>
      <c r="URM129"/>
      <c r="URN129"/>
      <c r="URO129"/>
      <c r="URP129"/>
      <c r="URQ129"/>
      <c r="URR129"/>
      <c r="URS129"/>
      <c r="URT129"/>
      <c r="URU129"/>
      <c r="URV129"/>
      <c r="URW129"/>
      <c r="URX129"/>
      <c r="URY129"/>
      <c r="URZ129"/>
      <c r="USA129"/>
      <c r="USB129"/>
      <c r="USC129"/>
      <c r="USD129"/>
      <c r="USE129"/>
      <c r="USF129"/>
      <c r="USG129"/>
      <c r="USH129"/>
      <c r="USI129"/>
      <c r="USJ129"/>
      <c r="USK129"/>
      <c r="USL129"/>
      <c r="USM129"/>
      <c r="USN129"/>
      <c r="USO129"/>
      <c r="USP129"/>
      <c r="USQ129"/>
      <c r="USR129"/>
      <c r="USS129"/>
      <c r="UST129"/>
      <c r="USU129"/>
      <c r="USV129"/>
      <c r="USW129"/>
      <c r="USX129"/>
      <c r="USY129"/>
      <c r="USZ129"/>
      <c r="UTA129"/>
      <c r="UTB129"/>
      <c r="UTC129"/>
      <c r="UTD129"/>
      <c r="UTE129"/>
      <c r="UTF129"/>
      <c r="UTG129"/>
      <c r="UTH129"/>
      <c r="UTI129"/>
      <c r="UTJ129"/>
      <c r="UTK129"/>
      <c r="UTL129"/>
      <c r="UTM129"/>
      <c r="UTN129"/>
      <c r="UTO129"/>
      <c r="UTP129"/>
      <c r="UTQ129"/>
      <c r="UTR129"/>
      <c r="UTS129"/>
      <c r="UTT129"/>
      <c r="UTU129"/>
      <c r="UTV129"/>
      <c r="UTW129"/>
      <c r="UTX129"/>
      <c r="UTY129"/>
      <c r="UTZ129"/>
      <c r="UUA129"/>
      <c r="UUB129"/>
      <c r="UUC129"/>
      <c r="UUD129"/>
      <c r="UUE129"/>
      <c r="UUF129"/>
      <c r="UUG129"/>
      <c r="UUH129"/>
      <c r="UUI129"/>
      <c r="UUJ129"/>
      <c r="UUK129"/>
      <c r="UUL129"/>
      <c r="UUM129"/>
      <c r="UUN129"/>
      <c r="UUO129"/>
      <c r="UUP129"/>
      <c r="UUQ129"/>
      <c r="UUR129"/>
      <c r="UUS129"/>
      <c r="UUT129"/>
      <c r="UUU129"/>
      <c r="UUV129"/>
      <c r="UUW129"/>
      <c r="UUX129"/>
      <c r="UUY129"/>
      <c r="UUZ129"/>
      <c r="UVA129"/>
      <c r="UVB129"/>
      <c r="UVC129"/>
      <c r="UVD129"/>
      <c r="UVE129"/>
      <c r="UVF129"/>
      <c r="UVG129"/>
      <c r="UVH129"/>
      <c r="UVI129"/>
      <c r="UVJ129"/>
      <c r="UVK129"/>
      <c r="UVL129"/>
      <c r="UVM129"/>
      <c r="UVN129"/>
      <c r="UVO129"/>
      <c r="UVP129"/>
      <c r="UVQ129"/>
      <c r="UVR129"/>
      <c r="UVS129"/>
      <c r="UVT129"/>
      <c r="UVU129"/>
      <c r="UVV129"/>
      <c r="UVW129"/>
      <c r="UVX129"/>
      <c r="UVY129"/>
      <c r="UVZ129"/>
      <c r="UWA129"/>
      <c r="UWB129"/>
      <c r="UWC129"/>
      <c r="UWD129"/>
      <c r="UWE129"/>
      <c r="UWF129"/>
      <c r="UWG129"/>
      <c r="UWH129"/>
      <c r="UWI129"/>
      <c r="UWJ129"/>
      <c r="UWK129"/>
      <c r="UWL129"/>
      <c r="UWM129"/>
      <c r="UWN129"/>
      <c r="UWO129"/>
      <c r="UWP129"/>
      <c r="UWQ129"/>
      <c r="UWR129"/>
      <c r="UWS129"/>
      <c r="UWT129"/>
      <c r="UWU129"/>
      <c r="UWV129"/>
      <c r="UWW129"/>
      <c r="UWX129"/>
      <c r="UWY129"/>
      <c r="UWZ129"/>
      <c r="UXA129"/>
      <c r="UXB129"/>
      <c r="UXC129"/>
      <c r="UXD129"/>
      <c r="UXE129"/>
      <c r="UXF129"/>
      <c r="UXG129"/>
      <c r="UXH129"/>
      <c r="UXI129"/>
      <c r="UXJ129"/>
      <c r="UXK129"/>
      <c r="UXL129"/>
      <c r="UXM129"/>
      <c r="UXN129"/>
      <c r="UXO129"/>
      <c r="UXP129"/>
      <c r="UXQ129"/>
      <c r="UXR129"/>
      <c r="UXS129"/>
      <c r="UXT129"/>
      <c r="UXU129"/>
      <c r="UXV129"/>
      <c r="UXW129"/>
      <c r="UXX129"/>
      <c r="UXY129"/>
      <c r="UXZ129"/>
      <c r="UYA129"/>
      <c r="UYB129"/>
      <c r="UYC129"/>
      <c r="UYD129"/>
      <c r="UYE129"/>
      <c r="UYF129"/>
      <c r="UYG129"/>
      <c r="UYH129"/>
      <c r="UYI129"/>
      <c r="UYJ129"/>
      <c r="UYK129"/>
      <c r="UYL129"/>
      <c r="UYM129"/>
      <c r="UYN129"/>
      <c r="UYO129"/>
      <c r="UYP129"/>
      <c r="UYQ129"/>
      <c r="UYR129"/>
      <c r="UYS129"/>
      <c r="UYT129"/>
      <c r="UYU129"/>
      <c r="UYV129"/>
      <c r="UYW129"/>
      <c r="UYX129"/>
      <c r="UYY129"/>
      <c r="UYZ129"/>
      <c r="UZA129"/>
      <c r="UZB129"/>
      <c r="UZC129"/>
      <c r="UZD129"/>
      <c r="UZE129"/>
      <c r="UZF129"/>
      <c r="UZG129"/>
      <c r="UZH129"/>
      <c r="UZI129"/>
      <c r="UZJ129"/>
      <c r="UZK129"/>
      <c r="UZL129"/>
      <c r="UZM129"/>
      <c r="UZN129"/>
      <c r="UZO129"/>
      <c r="UZP129"/>
      <c r="UZQ129"/>
      <c r="UZR129"/>
      <c r="UZS129"/>
      <c r="UZT129"/>
      <c r="UZU129"/>
      <c r="UZV129"/>
      <c r="UZW129"/>
      <c r="UZX129"/>
      <c r="UZY129"/>
      <c r="UZZ129"/>
      <c r="VAA129"/>
      <c r="VAB129"/>
      <c r="VAC129"/>
      <c r="VAD129"/>
      <c r="VAE129"/>
      <c r="VAF129"/>
      <c r="VAG129"/>
      <c r="VAH129"/>
      <c r="VAI129"/>
      <c r="VAJ129"/>
      <c r="VAK129"/>
      <c r="VAL129"/>
      <c r="VAM129"/>
      <c r="VAN129"/>
      <c r="VAO129"/>
      <c r="VAP129"/>
      <c r="VAQ129"/>
      <c r="VAR129"/>
      <c r="VAS129"/>
      <c r="VAT129"/>
      <c r="VAU129"/>
      <c r="VAV129"/>
      <c r="VAW129"/>
      <c r="VAX129"/>
      <c r="VAY129"/>
      <c r="VAZ129"/>
      <c r="VBA129"/>
      <c r="VBB129"/>
      <c r="VBC129"/>
      <c r="VBD129"/>
      <c r="VBE129"/>
      <c r="VBF129"/>
      <c r="VBG129"/>
      <c r="VBH129"/>
      <c r="VBI129"/>
      <c r="VBJ129"/>
      <c r="VBK129"/>
      <c r="VBL129"/>
      <c r="VBM129"/>
      <c r="VBN129"/>
      <c r="VBO129"/>
      <c r="VBP129"/>
      <c r="VBQ129"/>
      <c r="VBR129"/>
      <c r="VBS129"/>
      <c r="VBT129"/>
      <c r="VBU129"/>
      <c r="VBV129"/>
      <c r="VBW129"/>
      <c r="VBX129"/>
      <c r="VBY129"/>
      <c r="VBZ129"/>
      <c r="VCA129"/>
      <c r="VCB129"/>
      <c r="VCC129"/>
      <c r="VCD129"/>
      <c r="VCE129"/>
      <c r="VCF129"/>
      <c r="VCG129"/>
      <c r="VCH129"/>
      <c r="VCI129"/>
      <c r="VCJ129"/>
      <c r="VCK129"/>
      <c r="VCL129"/>
      <c r="VCM129"/>
      <c r="VCN129"/>
      <c r="VCO129"/>
      <c r="VCP129"/>
      <c r="VCQ129"/>
      <c r="VCR129"/>
      <c r="VCS129"/>
      <c r="VCT129"/>
      <c r="VCU129"/>
      <c r="VCV129"/>
      <c r="VCW129"/>
      <c r="VCX129"/>
      <c r="VCY129"/>
      <c r="VCZ129"/>
      <c r="VDA129"/>
      <c r="VDB129"/>
      <c r="VDC129"/>
      <c r="VDD129"/>
      <c r="VDE129"/>
      <c r="VDF129"/>
      <c r="VDG129"/>
      <c r="VDH129"/>
      <c r="VDI129"/>
      <c r="VDJ129"/>
      <c r="VDK129"/>
      <c r="VDL129"/>
      <c r="VDM129"/>
      <c r="VDN129"/>
      <c r="VDO129"/>
      <c r="VDP129"/>
      <c r="VDQ129"/>
      <c r="VDR129"/>
      <c r="VDS129"/>
      <c r="VDT129"/>
      <c r="VDU129"/>
      <c r="VDV129"/>
      <c r="VDW129"/>
      <c r="VDX129"/>
      <c r="VDY129"/>
      <c r="VDZ129"/>
      <c r="VEA129"/>
      <c r="VEB129"/>
      <c r="VEC129"/>
      <c r="VED129"/>
      <c r="VEE129"/>
      <c r="VEF129"/>
      <c r="VEG129"/>
      <c r="VEH129"/>
      <c r="VEI129"/>
      <c r="VEJ129"/>
      <c r="VEK129"/>
      <c r="VEL129"/>
      <c r="VEM129"/>
      <c r="VEN129"/>
      <c r="VEO129"/>
      <c r="VEP129"/>
      <c r="VEQ129"/>
      <c r="VER129"/>
      <c r="VES129"/>
      <c r="VET129"/>
      <c r="VEU129"/>
      <c r="VEV129"/>
      <c r="VEW129"/>
      <c r="VEX129"/>
      <c r="VEY129"/>
      <c r="VEZ129"/>
      <c r="VFA129"/>
      <c r="VFB129"/>
      <c r="VFC129"/>
      <c r="VFD129"/>
      <c r="VFE129"/>
      <c r="VFF129"/>
      <c r="VFG129"/>
      <c r="VFH129"/>
      <c r="VFI129"/>
      <c r="VFJ129"/>
      <c r="VFK129"/>
      <c r="VFL129"/>
      <c r="VFM129"/>
      <c r="VFN129"/>
      <c r="VFO129"/>
      <c r="VFP129"/>
      <c r="VFQ129"/>
      <c r="VFR129"/>
      <c r="VFS129"/>
      <c r="VFT129"/>
      <c r="VFU129"/>
      <c r="VFV129"/>
      <c r="VFW129"/>
      <c r="VFX129"/>
      <c r="VFY129"/>
      <c r="VFZ129"/>
      <c r="VGA129"/>
      <c r="VGB129"/>
      <c r="VGC129"/>
      <c r="VGD129"/>
      <c r="VGE129"/>
      <c r="VGF129"/>
      <c r="VGG129"/>
      <c r="VGH129"/>
      <c r="VGI129"/>
      <c r="VGJ129"/>
      <c r="VGK129"/>
      <c r="VGL129"/>
      <c r="VGM129"/>
      <c r="VGN129"/>
      <c r="VGO129"/>
      <c r="VGP129"/>
      <c r="VGQ129"/>
      <c r="VGR129"/>
      <c r="VGS129"/>
      <c r="VGT129"/>
      <c r="VGU129"/>
      <c r="VGV129"/>
      <c r="VGW129"/>
      <c r="VGX129"/>
      <c r="VGY129"/>
      <c r="VGZ129"/>
      <c r="VHA129"/>
      <c r="VHB129"/>
      <c r="VHC129"/>
      <c r="VHD129"/>
      <c r="VHE129"/>
      <c r="VHF129"/>
      <c r="VHG129"/>
      <c r="VHH129"/>
      <c r="VHI129"/>
      <c r="VHJ129"/>
      <c r="VHK129"/>
      <c r="VHL129"/>
      <c r="VHM129"/>
      <c r="VHN129"/>
      <c r="VHO129"/>
      <c r="VHP129"/>
      <c r="VHQ129"/>
      <c r="VHR129"/>
      <c r="VHS129"/>
      <c r="VHT129"/>
      <c r="VHU129"/>
      <c r="VHV129"/>
      <c r="VHW129"/>
      <c r="VHX129"/>
      <c r="VHY129"/>
      <c r="VHZ129"/>
      <c r="VIA129"/>
      <c r="VIB129"/>
      <c r="VIC129"/>
      <c r="VID129"/>
      <c r="VIE129"/>
      <c r="VIF129"/>
      <c r="VIG129"/>
      <c r="VIH129"/>
      <c r="VII129"/>
      <c r="VIJ129"/>
      <c r="VIK129"/>
      <c r="VIL129"/>
      <c r="VIM129"/>
      <c r="VIN129"/>
      <c r="VIO129"/>
      <c r="VIP129"/>
      <c r="VIQ129"/>
      <c r="VIR129"/>
      <c r="VIS129"/>
      <c r="VIT129"/>
      <c r="VIU129"/>
      <c r="VIV129"/>
      <c r="VIW129"/>
      <c r="VIX129"/>
      <c r="VIY129"/>
      <c r="VIZ129"/>
      <c r="VJA129"/>
      <c r="VJB129"/>
      <c r="VJC129"/>
      <c r="VJD129"/>
      <c r="VJE129"/>
      <c r="VJF129"/>
      <c r="VJG129"/>
      <c r="VJH129"/>
      <c r="VJI129"/>
      <c r="VJJ129"/>
      <c r="VJK129"/>
      <c r="VJL129"/>
      <c r="VJM129"/>
      <c r="VJN129"/>
      <c r="VJO129"/>
      <c r="VJP129"/>
      <c r="VJQ129"/>
      <c r="VJR129"/>
      <c r="VJS129"/>
      <c r="VJT129"/>
      <c r="VJU129"/>
      <c r="VJV129"/>
      <c r="VJW129"/>
      <c r="VJX129"/>
      <c r="VJY129"/>
      <c r="VJZ129"/>
      <c r="VKA129"/>
      <c r="VKB129"/>
      <c r="VKC129"/>
      <c r="VKD129"/>
      <c r="VKE129"/>
      <c r="VKF129"/>
      <c r="VKG129"/>
      <c r="VKH129"/>
      <c r="VKI129"/>
      <c r="VKJ129"/>
      <c r="VKK129"/>
      <c r="VKL129"/>
      <c r="VKM129"/>
      <c r="VKN129"/>
      <c r="VKO129"/>
      <c r="VKP129"/>
      <c r="VKQ129"/>
      <c r="VKR129"/>
      <c r="VKS129"/>
      <c r="VKT129"/>
      <c r="VKU129"/>
      <c r="VKV129"/>
      <c r="VKW129"/>
      <c r="VKX129"/>
      <c r="VKY129"/>
      <c r="VKZ129"/>
      <c r="VLA129"/>
      <c r="VLB129"/>
      <c r="VLC129"/>
      <c r="VLD129"/>
      <c r="VLE129"/>
      <c r="VLF129"/>
      <c r="VLG129"/>
      <c r="VLH129"/>
      <c r="VLI129"/>
      <c r="VLJ129"/>
      <c r="VLK129"/>
      <c r="VLL129"/>
      <c r="VLM129"/>
      <c r="VLN129"/>
      <c r="VLO129"/>
      <c r="VLP129"/>
      <c r="VLQ129"/>
      <c r="VLR129"/>
      <c r="VLS129"/>
      <c r="VLT129"/>
      <c r="VLU129"/>
      <c r="VLV129"/>
      <c r="VLW129"/>
      <c r="VLX129"/>
      <c r="VLY129"/>
      <c r="VLZ129"/>
      <c r="VMA129"/>
      <c r="VMB129"/>
      <c r="VMC129"/>
      <c r="VMD129"/>
      <c r="VME129"/>
      <c r="VMF129"/>
      <c r="VMG129"/>
      <c r="VMH129"/>
      <c r="VMI129"/>
      <c r="VMJ129"/>
      <c r="VMK129"/>
      <c r="VML129"/>
      <c r="VMM129"/>
      <c r="VMN129"/>
      <c r="VMO129"/>
      <c r="VMP129"/>
      <c r="VMQ129"/>
      <c r="VMR129"/>
      <c r="VMS129"/>
      <c r="VMT129"/>
      <c r="VMU129"/>
      <c r="VMV129"/>
      <c r="VMW129"/>
      <c r="VMX129"/>
      <c r="VMY129"/>
      <c r="VMZ129"/>
      <c r="VNA129"/>
      <c r="VNB129"/>
      <c r="VNC129"/>
      <c r="VND129"/>
      <c r="VNE129"/>
      <c r="VNF129"/>
      <c r="VNG129"/>
      <c r="VNH129"/>
      <c r="VNI129"/>
      <c r="VNJ129"/>
      <c r="VNK129"/>
      <c r="VNL129"/>
      <c r="VNM129"/>
      <c r="VNN129"/>
      <c r="VNO129"/>
      <c r="VNP129"/>
      <c r="VNQ129"/>
      <c r="VNR129"/>
      <c r="VNS129"/>
      <c r="VNT129"/>
      <c r="VNU129"/>
      <c r="VNV129"/>
      <c r="VNW129"/>
      <c r="VNX129"/>
      <c r="VNY129"/>
      <c r="VNZ129"/>
      <c r="VOA129"/>
      <c r="VOB129"/>
      <c r="VOC129"/>
      <c r="VOD129"/>
      <c r="VOE129"/>
      <c r="VOF129"/>
      <c r="VOG129"/>
      <c r="VOH129"/>
      <c r="VOI129"/>
      <c r="VOJ129"/>
      <c r="VOK129"/>
      <c r="VOL129"/>
      <c r="VOM129"/>
      <c r="VON129"/>
      <c r="VOO129"/>
      <c r="VOP129"/>
      <c r="VOQ129"/>
      <c r="VOR129"/>
      <c r="VOS129"/>
      <c r="VOT129"/>
      <c r="VOU129"/>
      <c r="VOV129"/>
      <c r="VOW129"/>
      <c r="VOX129"/>
      <c r="VOY129"/>
      <c r="VOZ129"/>
      <c r="VPA129"/>
      <c r="VPB129"/>
      <c r="VPC129"/>
      <c r="VPD129"/>
      <c r="VPE129"/>
      <c r="VPF129"/>
      <c r="VPG129"/>
      <c r="VPH129"/>
      <c r="VPI129"/>
      <c r="VPJ129"/>
      <c r="VPK129"/>
      <c r="VPL129"/>
      <c r="VPM129"/>
      <c r="VPN129"/>
      <c r="VPO129"/>
      <c r="VPP129"/>
      <c r="VPQ129"/>
      <c r="VPR129"/>
      <c r="VPS129"/>
      <c r="VPT129"/>
      <c r="VPU129"/>
      <c r="VPV129"/>
      <c r="VPW129"/>
      <c r="VPX129"/>
      <c r="VPY129"/>
      <c r="VPZ129"/>
      <c r="VQA129"/>
      <c r="VQB129"/>
      <c r="VQC129"/>
      <c r="VQD129"/>
      <c r="VQE129"/>
      <c r="VQF129"/>
      <c r="VQG129"/>
      <c r="VQH129"/>
      <c r="VQI129"/>
      <c r="VQJ129"/>
      <c r="VQK129"/>
      <c r="VQL129"/>
      <c r="VQM129"/>
      <c r="VQN129"/>
      <c r="VQO129"/>
      <c r="VQP129"/>
      <c r="VQQ129"/>
      <c r="VQR129"/>
      <c r="VQS129"/>
      <c r="VQT129"/>
      <c r="VQU129"/>
      <c r="VQV129"/>
      <c r="VQW129"/>
      <c r="VQX129"/>
      <c r="VQY129"/>
      <c r="VQZ129"/>
      <c r="VRA129"/>
      <c r="VRB129"/>
      <c r="VRC129"/>
      <c r="VRD129"/>
      <c r="VRE129"/>
      <c r="VRF129"/>
      <c r="VRG129"/>
      <c r="VRH129"/>
      <c r="VRI129"/>
      <c r="VRJ129"/>
      <c r="VRK129"/>
      <c r="VRL129"/>
      <c r="VRM129"/>
      <c r="VRN129"/>
      <c r="VRO129"/>
      <c r="VRP129"/>
      <c r="VRQ129"/>
      <c r="VRR129"/>
      <c r="VRS129"/>
      <c r="VRT129"/>
      <c r="VRU129"/>
      <c r="VRV129"/>
      <c r="VRW129"/>
      <c r="VRX129"/>
      <c r="VRY129"/>
      <c r="VRZ129"/>
      <c r="VSA129"/>
      <c r="VSB129"/>
      <c r="VSC129"/>
      <c r="VSD129"/>
      <c r="VSE129"/>
      <c r="VSF129"/>
      <c r="VSG129"/>
      <c r="VSH129"/>
      <c r="VSI129"/>
      <c r="VSJ129"/>
      <c r="VSK129"/>
      <c r="VSL129"/>
      <c r="VSM129"/>
      <c r="VSN129"/>
      <c r="VSO129"/>
      <c r="VSP129"/>
      <c r="VSQ129"/>
      <c r="VSR129"/>
      <c r="VSS129"/>
      <c r="VST129"/>
      <c r="VSU129"/>
      <c r="VSV129"/>
      <c r="VSW129"/>
      <c r="VSX129"/>
      <c r="VSY129"/>
      <c r="VSZ129"/>
      <c r="VTA129"/>
      <c r="VTB129"/>
      <c r="VTC129"/>
      <c r="VTD129"/>
      <c r="VTE129"/>
      <c r="VTF129"/>
      <c r="VTG129"/>
      <c r="VTH129"/>
      <c r="VTI129"/>
      <c r="VTJ129"/>
      <c r="VTK129"/>
      <c r="VTL129"/>
      <c r="VTM129"/>
      <c r="VTN129"/>
      <c r="VTO129"/>
      <c r="VTP129"/>
      <c r="VTQ129"/>
      <c r="VTR129"/>
      <c r="VTS129"/>
      <c r="VTT129"/>
      <c r="VTU129"/>
      <c r="VTV129"/>
      <c r="VTW129"/>
      <c r="VTX129"/>
      <c r="VTY129"/>
      <c r="VTZ129"/>
      <c r="VUA129"/>
      <c r="VUB129"/>
      <c r="VUC129"/>
      <c r="VUD129"/>
      <c r="VUE129"/>
      <c r="VUF129"/>
      <c r="VUG129"/>
      <c r="VUH129"/>
      <c r="VUI129"/>
      <c r="VUJ129"/>
      <c r="VUK129"/>
      <c r="VUL129"/>
      <c r="VUM129"/>
      <c r="VUN129"/>
      <c r="VUO129"/>
      <c r="VUP129"/>
      <c r="VUQ129"/>
      <c r="VUR129"/>
      <c r="VUS129"/>
      <c r="VUT129"/>
      <c r="VUU129"/>
      <c r="VUV129"/>
      <c r="VUW129"/>
      <c r="VUX129"/>
      <c r="VUY129"/>
      <c r="VUZ129"/>
      <c r="VVA129"/>
      <c r="VVB129"/>
      <c r="VVC129"/>
      <c r="VVD129"/>
      <c r="VVE129"/>
      <c r="VVF129"/>
      <c r="VVG129"/>
      <c r="VVH129"/>
      <c r="VVI129"/>
      <c r="VVJ129"/>
      <c r="VVK129"/>
      <c r="VVL129"/>
      <c r="VVM129"/>
      <c r="VVN129"/>
      <c r="VVO129"/>
      <c r="VVP129"/>
      <c r="VVQ129"/>
      <c r="VVR129"/>
      <c r="VVS129"/>
      <c r="VVT129"/>
      <c r="VVU129"/>
      <c r="VVV129"/>
      <c r="VVW129"/>
      <c r="VVX129"/>
      <c r="VVY129"/>
      <c r="VVZ129"/>
      <c r="VWA129"/>
      <c r="VWB129"/>
      <c r="VWC129"/>
      <c r="VWD129"/>
      <c r="VWE129"/>
      <c r="VWF129"/>
      <c r="VWG129"/>
      <c r="VWH129"/>
      <c r="VWI129"/>
      <c r="VWJ129"/>
      <c r="VWK129"/>
      <c r="VWL129"/>
      <c r="VWM129"/>
      <c r="VWN129"/>
      <c r="VWO129"/>
      <c r="VWP129"/>
      <c r="VWQ129"/>
      <c r="VWR129"/>
      <c r="VWS129"/>
      <c r="VWT129"/>
      <c r="VWU129"/>
      <c r="VWV129"/>
      <c r="VWW129"/>
      <c r="VWX129"/>
      <c r="VWY129"/>
      <c r="VWZ129"/>
      <c r="VXA129"/>
      <c r="VXB129"/>
      <c r="VXC129"/>
      <c r="VXD129"/>
      <c r="VXE129"/>
      <c r="VXF129"/>
      <c r="VXG129"/>
      <c r="VXH129"/>
      <c r="VXI129"/>
      <c r="VXJ129"/>
      <c r="VXK129"/>
      <c r="VXL129"/>
      <c r="VXM129"/>
      <c r="VXN129"/>
      <c r="VXO129"/>
      <c r="VXP129"/>
      <c r="VXQ129"/>
      <c r="VXR129"/>
      <c r="VXS129"/>
      <c r="VXT129"/>
      <c r="VXU129"/>
      <c r="VXV129"/>
      <c r="VXW129"/>
      <c r="VXX129"/>
      <c r="VXY129"/>
      <c r="VXZ129"/>
      <c r="VYA129"/>
      <c r="VYB129"/>
      <c r="VYC129"/>
      <c r="VYD129"/>
      <c r="VYE129"/>
      <c r="VYF129"/>
      <c r="VYG129"/>
      <c r="VYH129"/>
      <c r="VYI129"/>
      <c r="VYJ129"/>
      <c r="VYK129"/>
      <c r="VYL129"/>
      <c r="VYM129"/>
      <c r="VYN129"/>
      <c r="VYO129"/>
      <c r="VYP129"/>
      <c r="VYQ129"/>
      <c r="VYR129"/>
      <c r="VYS129"/>
      <c r="VYT129"/>
      <c r="VYU129"/>
      <c r="VYV129"/>
      <c r="VYW129"/>
      <c r="VYX129"/>
      <c r="VYY129"/>
      <c r="VYZ129"/>
      <c r="VZA129"/>
      <c r="VZB129"/>
      <c r="VZC129"/>
      <c r="VZD129"/>
      <c r="VZE129"/>
      <c r="VZF129"/>
      <c r="VZG129"/>
      <c r="VZH129"/>
      <c r="VZI129"/>
      <c r="VZJ129"/>
      <c r="VZK129"/>
      <c r="VZL129"/>
      <c r="VZM129"/>
      <c r="VZN129"/>
      <c r="VZO129"/>
      <c r="VZP129"/>
      <c r="VZQ129"/>
      <c r="VZR129"/>
      <c r="VZS129"/>
      <c r="VZT129"/>
      <c r="VZU129"/>
      <c r="VZV129"/>
      <c r="VZW129"/>
      <c r="VZX129"/>
      <c r="VZY129"/>
      <c r="VZZ129"/>
      <c r="WAA129"/>
      <c r="WAB129"/>
      <c r="WAC129"/>
      <c r="WAD129"/>
      <c r="WAE129"/>
      <c r="WAF129"/>
      <c r="WAG129"/>
      <c r="WAH129"/>
      <c r="WAI129"/>
      <c r="WAJ129"/>
      <c r="WAK129"/>
      <c r="WAL129"/>
      <c r="WAM129"/>
      <c r="WAN129"/>
      <c r="WAO129"/>
      <c r="WAP129"/>
      <c r="WAQ129"/>
      <c r="WAR129"/>
      <c r="WAS129"/>
      <c r="WAT129"/>
      <c r="WAU129"/>
      <c r="WAV129"/>
      <c r="WAW129"/>
      <c r="WAX129"/>
      <c r="WAY129"/>
      <c r="WAZ129"/>
      <c r="WBA129"/>
      <c r="WBB129"/>
      <c r="WBC129"/>
      <c r="WBD129"/>
      <c r="WBE129"/>
      <c r="WBF129"/>
      <c r="WBG129"/>
      <c r="WBH129"/>
      <c r="WBI129"/>
      <c r="WBJ129"/>
      <c r="WBK129"/>
      <c r="WBL129"/>
      <c r="WBM129"/>
      <c r="WBN129"/>
      <c r="WBO129"/>
      <c r="WBP129"/>
      <c r="WBQ129"/>
      <c r="WBR129"/>
      <c r="WBS129"/>
      <c r="WBT129"/>
      <c r="WBU129"/>
      <c r="WBV129"/>
      <c r="WBW129"/>
      <c r="WBX129"/>
      <c r="WBY129"/>
      <c r="WBZ129"/>
      <c r="WCA129"/>
      <c r="WCB129"/>
      <c r="WCC129"/>
      <c r="WCD129"/>
      <c r="WCE129"/>
      <c r="WCF129"/>
      <c r="WCG129"/>
      <c r="WCH129"/>
      <c r="WCI129"/>
      <c r="WCJ129"/>
      <c r="WCK129"/>
      <c r="WCL129"/>
      <c r="WCM129"/>
      <c r="WCN129"/>
      <c r="WCO129"/>
      <c r="WCP129"/>
      <c r="WCQ129"/>
      <c r="WCR129"/>
      <c r="WCS129"/>
      <c r="WCT129"/>
      <c r="WCU129"/>
      <c r="WCV129"/>
      <c r="WCW129"/>
      <c r="WCX129"/>
      <c r="WCY129"/>
      <c r="WCZ129"/>
      <c r="WDA129"/>
      <c r="WDB129"/>
      <c r="WDC129"/>
      <c r="WDD129"/>
      <c r="WDE129"/>
      <c r="WDF129"/>
      <c r="WDG129"/>
      <c r="WDH129"/>
      <c r="WDI129"/>
      <c r="WDJ129"/>
      <c r="WDK129"/>
      <c r="WDL129"/>
      <c r="WDM129"/>
      <c r="WDN129"/>
      <c r="WDO129"/>
      <c r="WDP129"/>
      <c r="WDQ129"/>
      <c r="WDR129"/>
      <c r="WDS129"/>
      <c r="WDT129"/>
      <c r="WDU129"/>
      <c r="WDV129"/>
      <c r="WDW129"/>
      <c r="WDX129"/>
      <c r="WDY129"/>
      <c r="WDZ129"/>
      <c r="WEA129"/>
      <c r="WEB129"/>
      <c r="WEC129"/>
      <c r="WED129"/>
      <c r="WEE129"/>
      <c r="WEF129"/>
      <c r="WEG129"/>
      <c r="WEH129"/>
      <c r="WEI129"/>
      <c r="WEJ129"/>
      <c r="WEK129"/>
      <c r="WEL129"/>
      <c r="WEM129"/>
      <c r="WEN129"/>
      <c r="WEO129"/>
      <c r="WEP129"/>
      <c r="WEQ129"/>
      <c r="WER129"/>
      <c r="WES129"/>
      <c r="WET129"/>
      <c r="WEU129"/>
      <c r="WEV129"/>
      <c r="WEW129"/>
      <c r="WEX129"/>
      <c r="WEY129"/>
      <c r="WEZ129"/>
      <c r="WFA129"/>
      <c r="WFB129"/>
      <c r="WFC129"/>
      <c r="WFD129"/>
      <c r="WFE129"/>
      <c r="WFF129"/>
      <c r="WFG129"/>
      <c r="WFH129"/>
      <c r="WFI129"/>
      <c r="WFJ129"/>
      <c r="WFK129"/>
      <c r="WFL129"/>
      <c r="WFM129"/>
      <c r="WFN129"/>
      <c r="WFO129"/>
      <c r="WFP129"/>
      <c r="WFQ129"/>
      <c r="WFR129"/>
      <c r="WFS129"/>
      <c r="WFT129"/>
      <c r="WFU129"/>
      <c r="WFV129"/>
      <c r="WFW129"/>
      <c r="WFX129"/>
      <c r="WFY129"/>
      <c r="WFZ129"/>
      <c r="WGA129"/>
      <c r="WGB129"/>
      <c r="WGC129"/>
      <c r="WGD129"/>
      <c r="WGE129"/>
      <c r="WGF129"/>
      <c r="WGG129"/>
      <c r="WGH129"/>
      <c r="WGI129"/>
      <c r="WGJ129"/>
      <c r="WGK129"/>
      <c r="WGL129"/>
      <c r="WGM129"/>
      <c r="WGN129"/>
      <c r="WGO129"/>
      <c r="WGP129"/>
      <c r="WGQ129"/>
      <c r="WGR129"/>
      <c r="WGS129"/>
      <c r="WGT129"/>
      <c r="WGU129"/>
      <c r="WGV129"/>
      <c r="WGW129"/>
      <c r="WGX129"/>
      <c r="WGY129"/>
      <c r="WGZ129"/>
      <c r="WHA129"/>
      <c r="WHB129"/>
      <c r="WHC129"/>
      <c r="WHD129"/>
      <c r="WHE129"/>
      <c r="WHF129"/>
      <c r="WHG129"/>
      <c r="WHH129"/>
      <c r="WHI129"/>
      <c r="WHJ129"/>
      <c r="WHK129"/>
      <c r="WHL129"/>
      <c r="WHM129"/>
      <c r="WHN129"/>
      <c r="WHO129"/>
      <c r="WHP129"/>
      <c r="WHQ129"/>
      <c r="WHR129"/>
      <c r="WHS129"/>
      <c r="WHT129"/>
      <c r="WHU129"/>
      <c r="WHV129"/>
      <c r="WHW129"/>
      <c r="WHX129"/>
      <c r="WHY129"/>
      <c r="WHZ129"/>
      <c r="WIA129"/>
      <c r="WIB129"/>
      <c r="WIC129"/>
      <c r="WID129"/>
      <c r="WIE129"/>
      <c r="WIF129"/>
      <c r="WIG129"/>
      <c r="WIH129"/>
      <c r="WII129"/>
      <c r="WIJ129"/>
      <c r="WIK129"/>
      <c r="WIL129"/>
      <c r="WIM129"/>
      <c r="WIN129"/>
      <c r="WIO129"/>
      <c r="WIP129"/>
      <c r="WIQ129"/>
      <c r="WIR129"/>
      <c r="WIS129"/>
      <c r="WIT129"/>
      <c r="WIU129"/>
      <c r="WIV129"/>
      <c r="WIW129"/>
      <c r="WIX129"/>
      <c r="WIY129"/>
      <c r="WIZ129"/>
      <c r="WJA129"/>
      <c r="WJB129"/>
      <c r="WJC129"/>
      <c r="WJD129"/>
      <c r="WJE129"/>
      <c r="WJF129"/>
      <c r="WJG129"/>
      <c r="WJH129"/>
      <c r="WJI129"/>
      <c r="WJJ129"/>
      <c r="WJK129"/>
      <c r="WJL129"/>
      <c r="WJM129"/>
      <c r="WJN129"/>
      <c r="WJO129"/>
      <c r="WJP129"/>
      <c r="WJQ129"/>
      <c r="WJR129"/>
      <c r="WJS129"/>
      <c r="WJT129"/>
      <c r="WJU129"/>
      <c r="WJV129"/>
      <c r="WJW129"/>
      <c r="WJX129"/>
      <c r="WJY129"/>
      <c r="WJZ129"/>
      <c r="WKA129"/>
      <c r="WKB129"/>
      <c r="WKC129"/>
      <c r="WKD129"/>
      <c r="WKE129"/>
      <c r="WKF129"/>
      <c r="WKG129"/>
      <c r="WKH129"/>
      <c r="WKI129"/>
      <c r="WKJ129"/>
      <c r="WKK129"/>
      <c r="WKL129"/>
      <c r="WKM129"/>
      <c r="WKN129"/>
      <c r="WKO129"/>
      <c r="WKP129"/>
      <c r="WKQ129"/>
      <c r="WKR129"/>
      <c r="WKS129"/>
      <c r="WKT129"/>
      <c r="WKU129"/>
      <c r="WKV129"/>
      <c r="WKW129"/>
      <c r="WKX129"/>
      <c r="WKY129"/>
      <c r="WKZ129"/>
      <c r="WLA129"/>
      <c r="WLB129"/>
      <c r="WLC129"/>
      <c r="WLD129"/>
      <c r="WLE129"/>
      <c r="WLF129"/>
      <c r="WLG129"/>
      <c r="WLH129"/>
      <c r="WLI129"/>
      <c r="WLJ129"/>
      <c r="WLK129"/>
      <c r="WLL129"/>
      <c r="WLM129"/>
      <c r="WLN129"/>
      <c r="WLO129"/>
      <c r="WLP129"/>
      <c r="WLQ129"/>
      <c r="WLR129"/>
      <c r="WLS129"/>
      <c r="WLT129"/>
      <c r="WLU129"/>
      <c r="WLV129"/>
      <c r="WLW129"/>
      <c r="WLX129"/>
      <c r="WLY129"/>
      <c r="WLZ129"/>
      <c r="WMA129"/>
      <c r="WMB129"/>
      <c r="WMC129"/>
      <c r="WMD129"/>
      <c r="WME129"/>
      <c r="WMF129"/>
      <c r="WMG129"/>
      <c r="WMH129"/>
      <c r="WMI129"/>
      <c r="WMJ129"/>
      <c r="WMK129"/>
      <c r="WML129"/>
      <c r="WMM129"/>
      <c r="WMN129"/>
      <c r="WMO129"/>
      <c r="WMP129"/>
      <c r="WMQ129"/>
      <c r="WMR129"/>
      <c r="WMS129"/>
      <c r="WMT129"/>
      <c r="WMU129"/>
      <c r="WMV129"/>
      <c r="WMW129"/>
      <c r="WMX129"/>
      <c r="WMY129"/>
      <c r="WMZ129"/>
      <c r="WNA129"/>
      <c r="WNB129"/>
      <c r="WNC129"/>
      <c r="WND129"/>
      <c r="WNE129"/>
      <c r="WNF129"/>
      <c r="WNG129"/>
      <c r="WNH129"/>
      <c r="WNI129"/>
      <c r="WNJ129"/>
      <c r="WNK129"/>
      <c r="WNL129"/>
      <c r="WNM129"/>
      <c r="WNN129"/>
      <c r="WNO129"/>
      <c r="WNP129"/>
      <c r="WNQ129"/>
      <c r="WNR129"/>
      <c r="WNS129"/>
      <c r="WNT129"/>
      <c r="WNU129"/>
      <c r="WNV129"/>
      <c r="WNW129"/>
      <c r="WNX129"/>
      <c r="WNY129"/>
      <c r="WNZ129"/>
      <c r="WOA129"/>
      <c r="WOB129"/>
      <c r="WOC129"/>
      <c r="WOD129"/>
      <c r="WOE129"/>
      <c r="WOF129"/>
      <c r="WOG129"/>
      <c r="WOH129"/>
      <c r="WOI129"/>
      <c r="WOJ129"/>
      <c r="WOK129"/>
      <c r="WOL129"/>
      <c r="WOM129"/>
      <c r="WON129"/>
      <c r="WOO129"/>
      <c r="WOP129"/>
      <c r="WOQ129"/>
      <c r="WOR129"/>
      <c r="WOS129"/>
      <c r="WOT129"/>
      <c r="WOU129"/>
      <c r="WOV129"/>
      <c r="WOW129"/>
      <c r="WOX129"/>
      <c r="WOY129"/>
      <c r="WOZ129"/>
      <c r="WPA129"/>
      <c r="WPB129"/>
      <c r="WPC129"/>
      <c r="WPD129"/>
      <c r="WPE129"/>
      <c r="WPF129"/>
      <c r="WPG129"/>
      <c r="WPH129"/>
      <c r="WPI129"/>
      <c r="WPJ129"/>
      <c r="WPK129"/>
      <c r="WPL129"/>
      <c r="WPM129"/>
      <c r="WPN129"/>
      <c r="WPO129"/>
      <c r="WPP129"/>
      <c r="WPQ129"/>
      <c r="WPR129"/>
      <c r="WPS129"/>
      <c r="WPT129"/>
      <c r="WPU129"/>
      <c r="WPV129"/>
      <c r="WPW129"/>
      <c r="WPX129"/>
      <c r="WPY129"/>
      <c r="WPZ129"/>
      <c r="WQA129"/>
      <c r="WQB129"/>
      <c r="WQC129"/>
      <c r="WQD129"/>
      <c r="WQE129"/>
      <c r="WQF129"/>
      <c r="WQG129"/>
      <c r="WQH129"/>
      <c r="WQI129"/>
      <c r="WQJ129"/>
      <c r="WQK129"/>
      <c r="WQL129"/>
      <c r="WQM129"/>
      <c r="WQN129"/>
      <c r="WQO129"/>
      <c r="WQP129"/>
      <c r="WQQ129"/>
      <c r="WQR129"/>
      <c r="WQS129"/>
      <c r="WQT129"/>
      <c r="WQU129"/>
      <c r="WQV129"/>
      <c r="WQW129"/>
      <c r="WQX129"/>
      <c r="WQY129"/>
      <c r="WQZ129"/>
      <c r="WRA129"/>
      <c r="WRB129"/>
      <c r="WRC129"/>
      <c r="WRD129"/>
      <c r="WRE129"/>
      <c r="WRF129"/>
      <c r="WRG129"/>
      <c r="WRH129"/>
      <c r="WRI129"/>
      <c r="WRJ129"/>
      <c r="WRK129"/>
      <c r="WRL129"/>
      <c r="WRM129"/>
      <c r="WRN129"/>
      <c r="WRO129"/>
      <c r="WRP129"/>
      <c r="WRQ129"/>
      <c r="WRR129"/>
      <c r="WRS129"/>
      <c r="WRT129"/>
      <c r="WRU129"/>
      <c r="WRV129"/>
      <c r="WRW129"/>
      <c r="WRX129"/>
      <c r="WRY129"/>
      <c r="WRZ129"/>
      <c r="WSA129"/>
      <c r="WSB129"/>
      <c r="WSC129"/>
      <c r="WSD129"/>
      <c r="WSE129"/>
      <c r="WSF129"/>
      <c r="WSG129"/>
      <c r="WSH129"/>
      <c r="WSI129"/>
      <c r="WSJ129"/>
      <c r="WSK129"/>
      <c r="WSL129"/>
      <c r="WSM129"/>
      <c r="WSN129"/>
      <c r="WSO129"/>
      <c r="WSP129"/>
      <c r="WSQ129"/>
      <c r="WSR129"/>
      <c r="WSS129"/>
      <c r="WST129"/>
      <c r="WSU129"/>
      <c r="WSV129"/>
      <c r="WSW129"/>
      <c r="WSX129"/>
      <c r="WSY129"/>
      <c r="WSZ129"/>
      <c r="WTA129"/>
      <c r="WTB129"/>
      <c r="WTC129"/>
      <c r="WTD129"/>
      <c r="WTE129"/>
      <c r="WTF129"/>
      <c r="WTG129"/>
      <c r="WTH129"/>
      <c r="WTI129"/>
      <c r="WTJ129"/>
      <c r="WTK129"/>
      <c r="WTL129"/>
      <c r="WTM129"/>
      <c r="WTN129"/>
      <c r="WTO129"/>
      <c r="WTP129"/>
      <c r="WTQ129"/>
      <c r="WTR129"/>
      <c r="WTS129"/>
      <c r="WTT129"/>
      <c r="WTU129"/>
      <c r="WTV129"/>
      <c r="WTW129"/>
      <c r="WTX129"/>
      <c r="WTY129"/>
      <c r="WTZ129"/>
      <c r="WUA129"/>
      <c r="WUB129"/>
      <c r="WUC129"/>
      <c r="WUD129"/>
      <c r="WUE129"/>
      <c r="WUF129"/>
      <c r="WUG129"/>
      <c r="WUH129"/>
      <c r="WUI129"/>
      <c r="WUJ129"/>
      <c r="WUK129"/>
      <c r="WUL129"/>
      <c r="WUM129"/>
      <c r="WUN129"/>
      <c r="WUO129"/>
      <c r="WUP129"/>
      <c r="WUQ129"/>
      <c r="WUR129"/>
      <c r="WUS129"/>
      <c r="WUT129"/>
      <c r="WUU129"/>
      <c r="WUV129"/>
      <c r="WUW129"/>
      <c r="WUX129"/>
      <c r="WUY129"/>
      <c r="WUZ129"/>
      <c r="WVA129"/>
      <c r="WVB129"/>
      <c r="WVC129"/>
      <c r="WVD129"/>
      <c r="WVE129"/>
      <c r="WVF129"/>
      <c r="WVG129"/>
      <c r="WVH129"/>
      <c r="WVI129"/>
      <c r="WVJ129"/>
      <c r="WVK129"/>
      <c r="WVL129"/>
      <c r="WVM129"/>
      <c r="WVN129"/>
      <c r="WVO129"/>
      <c r="WVP129"/>
      <c r="WVQ129"/>
      <c r="WVR129"/>
      <c r="WVS129"/>
      <c r="WVT129"/>
      <c r="WVU129"/>
      <c r="WVV129"/>
      <c r="WVW129"/>
      <c r="WVX129"/>
      <c r="WVY129"/>
      <c r="WVZ129"/>
      <c r="WWA129"/>
      <c r="WWB129"/>
      <c r="WWC129"/>
      <c r="WWD129"/>
      <c r="WWE129"/>
      <c r="WWF129"/>
      <c r="WWG129"/>
      <c r="WWH129"/>
      <c r="WWI129"/>
      <c r="WWJ129"/>
      <c r="WWK129"/>
      <c r="WWL129"/>
      <c r="WWM129"/>
      <c r="WWN129"/>
      <c r="WWO129"/>
      <c r="WWP129"/>
      <c r="WWQ129"/>
      <c r="WWR129"/>
      <c r="WWS129"/>
      <c r="WWT129"/>
      <c r="WWU129"/>
      <c r="WWV129"/>
      <c r="WWW129"/>
      <c r="WWX129"/>
      <c r="WWY129"/>
      <c r="WWZ129"/>
      <c r="WXA129"/>
      <c r="WXB129"/>
      <c r="WXC129"/>
      <c r="WXD129"/>
      <c r="WXE129"/>
      <c r="WXF129"/>
      <c r="WXG129"/>
      <c r="WXH129"/>
      <c r="WXI129"/>
      <c r="WXJ129"/>
      <c r="WXK129"/>
      <c r="WXL129"/>
      <c r="WXM129"/>
      <c r="WXN129"/>
      <c r="WXO129"/>
      <c r="WXP129"/>
      <c r="WXQ129"/>
      <c r="WXR129"/>
      <c r="WXS129"/>
      <c r="WXT129"/>
      <c r="WXU129"/>
      <c r="WXV129"/>
      <c r="WXW129"/>
      <c r="WXX129"/>
      <c r="WXY129"/>
      <c r="WXZ129"/>
      <c r="WYA129"/>
      <c r="WYB129"/>
      <c r="WYC129"/>
      <c r="WYD129"/>
      <c r="WYE129"/>
      <c r="WYF129"/>
      <c r="WYG129"/>
      <c r="WYH129"/>
      <c r="WYI129"/>
      <c r="WYJ129"/>
      <c r="WYK129"/>
      <c r="WYL129"/>
      <c r="WYM129"/>
      <c r="WYN129"/>
      <c r="WYO129"/>
      <c r="WYP129"/>
      <c r="WYQ129"/>
      <c r="WYR129"/>
      <c r="WYS129"/>
      <c r="WYT129"/>
      <c r="WYU129"/>
      <c r="WYV129"/>
      <c r="WYW129"/>
      <c r="WYX129"/>
      <c r="WYY129"/>
      <c r="WYZ129"/>
      <c r="WZA129"/>
      <c r="WZB129"/>
      <c r="WZC129"/>
      <c r="WZD129"/>
      <c r="WZE129"/>
      <c r="WZF129"/>
      <c r="WZG129"/>
      <c r="WZH129"/>
      <c r="WZI129"/>
      <c r="WZJ129"/>
      <c r="WZK129"/>
      <c r="WZL129"/>
      <c r="WZM129"/>
      <c r="WZN129"/>
      <c r="WZO129"/>
      <c r="WZP129"/>
      <c r="WZQ129"/>
      <c r="WZR129"/>
      <c r="WZS129"/>
      <c r="WZT129"/>
      <c r="WZU129"/>
      <c r="WZV129"/>
      <c r="WZW129"/>
      <c r="WZX129"/>
      <c r="WZY129"/>
      <c r="WZZ129"/>
      <c r="XAA129"/>
      <c r="XAB129"/>
      <c r="XAC129"/>
      <c r="XAD129"/>
      <c r="XAE129"/>
      <c r="XAF129"/>
      <c r="XAG129"/>
      <c r="XAH129"/>
      <c r="XAI129"/>
      <c r="XAJ129"/>
      <c r="XAK129"/>
      <c r="XAL129"/>
      <c r="XAM129"/>
      <c r="XAN129"/>
      <c r="XAO129"/>
      <c r="XAP129"/>
      <c r="XAQ129"/>
      <c r="XAR129"/>
      <c r="XAS129"/>
      <c r="XAT129"/>
      <c r="XAU129"/>
      <c r="XAV129"/>
      <c r="XAW129"/>
      <c r="XAX129"/>
      <c r="XAY129"/>
      <c r="XAZ129"/>
      <c r="XBA129"/>
      <c r="XBB129"/>
      <c r="XBC129"/>
      <c r="XBD129"/>
      <c r="XBE129"/>
      <c r="XBF129"/>
      <c r="XBG129"/>
      <c r="XBH129"/>
      <c r="XBI129"/>
      <c r="XBJ129"/>
      <c r="XBK129"/>
      <c r="XBL129"/>
      <c r="XBM129"/>
      <c r="XBN129"/>
      <c r="XBO129"/>
      <c r="XBP129"/>
      <c r="XBQ129"/>
      <c r="XBR129"/>
      <c r="XBS129"/>
      <c r="XBT129"/>
      <c r="XBU129"/>
      <c r="XBV129"/>
      <c r="XBW129"/>
      <c r="XBX129"/>
      <c r="XBY129"/>
      <c r="XBZ129"/>
      <c r="XCA129"/>
      <c r="XCB129"/>
      <c r="XCC129"/>
      <c r="XCD129"/>
      <c r="XCE129"/>
      <c r="XCF129"/>
      <c r="XCG129"/>
      <c r="XCH129"/>
      <c r="XCI129"/>
      <c r="XCJ129"/>
      <c r="XCK129"/>
      <c r="XCL129"/>
      <c r="XCM129"/>
      <c r="XCN129"/>
      <c r="XCO129"/>
      <c r="XCP129"/>
      <c r="XCQ129"/>
      <c r="XCR129"/>
      <c r="XCS129"/>
      <c r="XCT129"/>
      <c r="XCU129"/>
      <c r="XCV129"/>
      <c r="XCW129"/>
      <c r="XCX129"/>
      <c r="XCY129"/>
      <c r="XCZ129"/>
      <c r="XDA129"/>
      <c r="XDB129"/>
      <c r="XDC129"/>
      <c r="XDD129"/>
      <c r="XDE129"/>
      <c r="XDF129"/>
      <c r="XDG129"/>
      <c r="XDH129"/>
      <c r="XDI129"/>
      <c r="XDJ129"/>
      <c r="XDK129"/>
      <c r="XDL129"/>
      <c r="XDM129"/>
      <c r="XDN129"/>
      <c r="XDO129"/>
      <c r="XDP129"/>
      <c r="XDQ129"/>
      <c r="XDR129"/>
      <c r="XDS129"/>
      <c r="XDT129"/>
      <c r="XDU129"/>
      <c r="XDV129"/>
      <c r="XDW129"/>
      <c r="XDX129"/>
      <c r="XDY129"/>
      <c r="XDZ129"/>
      <c r="XEA129"/>
      <c r="XEB129"/>
      <c r="XEC129"/>
      <c r="XED129"/>
      <c r="XEE129"/>
      <c r="XEF129"/>
      <c r="XEG129"/>
      <c r="XEH129"/>
      <c r="XEI129"/>
      <c r="XEJ129"/>
      <c r="XEK129"/>
      <c r="XEL129"/>
      <c r="XEM129"/>
      <c r="XEN129"/>
      <c r="XEO129"/>
      <c r="XEP129"/>
      <c r="XEQ129"/>
      <c r="XER129"/>
      <c r="XES129"/>
      <c r="XET129"/>
      <c r="XEU129"/>
      <c r="XEV129"/>
      <c r="XEW129"/>
      <c r="XEX129"/>
      <c r="XEY129"/>
      <c r="XEZ129"/>
      <c r="XFA129"/>
      <c r="XFB129"/>
      <c r="XFC129"/>
      <c r="XFD129"/>
    </row>
    <row r="130" spans="1:16384" ht="4.5" hidden="1" customHeight="1" outlineLevel="1">
      <c r="C130" s="108"/>
    </row>
    <row r="131" spans="1:16384" hidden="1" outlineLevel="1">
      <c r="C131" s="109"/>
      <c r="D131" s="121" t="s">
        <v>87</v>
      </c>
    </row>
    <row r="132" spans="1:16384" hidden="1" outlineLevel="1"/>
    <row r="133" spans="1:16384" hidden="1" outlineLevel="1">
      <c r="D133" s="120" t="s">
        <v>88</v>
      </c>
    </row>
    <row r="134" spans="1:16384" hidden="1" outlineLevel="1"/>
    <row r="135" spans="1:16384" hidden="1" outlineLevel="1">
      <c r="D135" s="113" t="s">
        <v>89</v>
      </c>
      <c r="H135" s="46">
        <v>1</v>
      </c>
      <c r="I135" s="125" t="str">
        <f>CHOOSE(H135,"Straight Line","Diminishing Value")</f>
        <v>Straight Line</v>
      </c>
    </row>
    <row r="136" spans="1:16384" hidden="1" outlineLevel="1">
      <c r="D136" s="113" t="str">
        <f>"Diminishing Value Multiplier (DV)"</f>
        <v>Diminishing Value Multiplier (DV)</v>
      </c>
      <c r="H136" s="123">
        <v>2</v>
      </c>
      <c r="I136" s="116" t="s">
        <v>90</v>
      </c>
    </row>
    <row r="137" spans="1:16384" hidden="1" outlineLevel="1">
      <c r="D137" s="113" t="s">
        <v>91</v>
      </c>
      <c r="H137" s="46">
        <v>8</v>
      </c>
      <c r="I137" s="116" t="s">
        <v>92</v>
      </c>
      <c r="M137" s="35"/>
      <c r="N137" s="35"/>
      <c r="O137" s="35"/>
      <c r="P137" s="35"/>
      <c r="Q137" s="35"/>
      <c r="R137" s="35"/>
      <c r="S137" s="35"/>
      <c r="T137" s="35"/>
      <c r="U137" s="35"/>
      <c r="V137" s="35"/>
      <c r="W137" s="35"/>
      <c r="X137" s="35"/>
    </row>
    <row r="138" spans="1:16384" hidden="1" outlineLevel="1">
      <c r="D138" s="113" t="s">
        <v>93</v>
      </c>
      <c r="H138" s="46">
        <v>10</v>
      </c>
      <c r="I138" s="116" t="s">
        <v>92</v>
      </c>
      <c r="M138" s="35"/>
      <c r="N138" s="35"/>
      <c r="O138" s="35"/>
      <c r="P138" s="35"/>
      <c r="Q138" s="35"/>
      <c r="R138" s="35"/>
      <c r="S138" s="35"/>
      <c r="T138" s="35"/>
      <c r="U138" s="35"/>
      <c r="V138" s="35"/>
      <c r="W138" s="35"/>
      <c r="X138" s="35"/>
    </row>
    <row r="139" spans="1:16384" hidden="1" outlineLevel="1"/>
    <row r="140" spans="1:16384" hidden="1" outlineLevel="1">
      <c r="D140" s="120" t="s">
        <v>61</v>
      </c>
    </row>
    <row r="141" spans="1:16384" hidden="1" outlineLevel="1"/>
    <row r="142" spans="1:16384" hidden="1" outlineLevel="1">
      <c r="D142" s="113" t="s">
        <v>94</v>
      </c>
      <c r="K142" s="116" t="s">
        <v>95</v>
      </c>
      <c r="L142" s="161">
        <v>0.5</v>
      </c>
      <c r="M142" s="15">
        <f t="shared" ref="M142:X142" si="28">L142</f>
        <v>0.5</v>
      </c>
      <c r="N142" s="15">
        <f t="shared" si="28"/>
        <v>0.5</v>
      </c>
      <c r="O142" s="15">
        <f t="shared" si="28"/>
        <v>0.5</v>
      </c>
      <c r="P142" s="15">
        <f t="shared" si="28"/>
        <v>0.5</v>
      </c>
      <c r="Q142" s="15">
        <f t="shared" si="28"/>
        <v>0.5</v>
      </c>
      <c r="R142" s="15">
        <f t="shared" si="28"/>
        <v>0.5</v>
      </c>
      <c r="S142" s="15">
        <f t="shared" si="28"/>
        <v>0.5</v>
      </c>
      <c r="T142" s="15">
        <f t="shared" si="28"/>
        <v>0.5</v>
      </c>
      <c r="U142" s="15">
        <f t="shared" si="28"/>
        <v>0.5</v>
      </c>
      <c r="V142" s="15">
        <f t="shared" si="28"/>
        <v>0.5</v>
      </c>
      <c r="W142" s="15">
        <f t="shared" si="28"/>
        <v>0.5</v>
      </c>
      <c r="X142" s="15">
        <f t="shared" si="28"/>
        <v>0.5</v>
      </c>
    </row>
    <row r="143" spans="1:16384" hidden="1" outlineLevel="1">
      <c r="D143" s="113" t="s">
        <v>61</v>
      </c>
      <c r="K143" s="162" t="str">
        <f>Currency</f>
        <v>[A$]</v>
      </c>
      <c r="L143" s="11">
        <f>L422</f>
        <v>25</v>
      </c>
      <c r="M143" s="11">
        <f t="shared" ref="M143:X143" si="29">M422</f>
        <v>0</v>
      </c>
      <c r="N143" s="11">
        <f t="shared" si="29"/>
        <v>0</v>
      </c>
      <c r="O143" s="11">
        <f t="shared" si="29"/>
        <v>0</v>
      </c>
      <c r="P143" s="11">
        <f t="shared" si="29"/>
        <v>30</v>
      </c>
      <c r="Q143" s="11">
        <f t="shared" si="29"/>
        <v>0</v>
      </c>
      <c r="R143" s="11">
        <f t="shared" si="29"/>
        <v>0</v>
      </c>
      <c r="S143" s="11">
        <f t="shared" si="29"/>
        <v>0</v>
      </c>
      <c r="T143" s="11">
        <f t="shared" si="29"/>
        <v>35</v>
      </c>
      <c r="U143" s="11">
        <f t="shared" si="29"/>
        <v>0</v>
      </c>
      <c r="V143" s="11">
        <f t="shared" si="29"/>
        <v>0</v>
      </c>
      <c r="W143" s="11">
        <f t="shared" si="29"/>
        <v>0</v>
      </c>
      <c r="X143" s="11">
        <f t="shared" si="29"/>
        <v>0</v>
      </c>
    </row>
    <row r="144" spans="1:16384" hidden="1" outlineLevel="1"/>
    <row r="145" spans="4:24" hidden="1" outlineLevel="2">
      <c r="D145" s="120" t="s">
        <v>96</v>
      </c>
    </row>
    <row r="146" spans="4:24" hidden="1" outlineLevel="2">
      <c r="D146" s="120"/>
    </row>
    <row r="147" spans="4:24" hidden="1" outlineLevel="2">
      <c r="D147" s="122" t="s">
        <v>97</v>
      </c>
    </row>
    <row r="148" spans="4:24" hidden="1" outlineLevel="2">
      <c r="D148" s="113" t="s">
        <v>98</v>
      </c>
      <c r="K148" s="116" t="s">
        <v>99</v>
      </c>
      <c r="L148" s="89">
        <f t="shared" ref="L148:X148" si="30">$H138*Periods_Per_Year+L$20</f>
        <v>11</v>
      </c>
      <c r="M148" s="89">
        <f t="shared" si="30"/>
        <v>12</v>
      </c>
      <c r="N148" s="89">
        <f t="shared" si="30"/>
        <v>13</v>
      </c>
      <c r="O148" s="89">
        <f t="shared" si="30"/>
        <v>14</v>
      </c>
      <c r="P148" s="89">
        <f t="shared" si="30"/>
        <v>15</v>
      </c>
      <c r="Q148" s="89">
        <f t="shared" si="30"/>
        <v>16</v>
      </c>
      <c r="R148" s="89">
        <f t="shared" si="30"/>
        <v>17</v>
      </c>
      <c r="S148" s="89">
        <f t="shared" si="30"/>
        <v>18</v>
      </c>
      <c r="T148" s="89">
        <f t="shared" si="30"/>
        <v>19</v>
      </c>
      <c r="U148" s="89">
        <f t="shared" si="30"/>
        <v>20</v>
      </c>
      <c r="V148" s="89">
        <f t="shared" si="30"/>
        <v>21</v>
      </c>
      <c r="W148" s="89">
        <f t="shared" si="30"/>
        <v>22</v>
      </c>
      <c r="X148" s="89">
        <f t="shared" si="30"/>
        <v>23</v>
      </c>
    </row>
    <row r="149" spans="4:24" hidden="1" outlineLevel="2">
      <c r="D149" s="113" t="s">
        <v>100</v>
      </c>
      <c r="K149" s="116" t="str">
        <f>Currency</f>
        <v>[A$]</v>
      </c>
      <c r="L149" s="115">
        <f t="shared" ref="L149:X149" si="31">L143/($H138*Periods_Per_Year)-L156</f>
        <v>1.25</v>
      </c>
      <c r="M149" s="115">
        <f t="shared" si="31"/>
        <v>0</v>
      </c>
      <c r="N149" s="115">
        <f t="shared" si="31"/>
        <v>0</v>
      </c>
      <c r="O149" s="115">
        <f t="shared" si="31"/>
        <v>0</v>
      </c>
      <c r="P149" s="115">
        <f t="shared" si="31"/>
        <v>1.5</v>
      </c>
      <c r="Q149" s="115">
        <f t="shared" si="31"/>
        <v>0</v>
      </c>
      <c r="R149" s="115">
        <f t="shared" si="31"/>
        <v>0</v>
      </c>
      <c r="S149" s="115">
        <f t="shared" si="31"/>
        <v>0</v>
      </c>
      <c r="T149" s="115">
        <f t="shared" si="31"/>
        <v>1.75</v>
      </c>
      <c r="U149" s="115">
        <f t="shared" si="31"/>
        <v>0</v>
      </c>
      <c r="V149" s="115">
        <f t="shared" si="31"/>
        <v>0</v>
      </c>
      <c r="W149" s="115">
        <f t="shared" si="31"/>
        <v>0</v>
      </c>
      <c r="X149" s="115">
        <f t="shared" si="31"/>
        <v>0</v>
      </c>
    </row>
    <row r="150" spans="4:24" hidden="1" outlineLevel="2">
      <c r="D150" s="113" t="s">
        <v>101</v>
      </c>
      <c r="K150" s="116" t="s">
        <v>99</v>
      </c>
      <c r="L150" s="89">
        <f t="shared" ref="L150:X150" si="32">MIN(L$20,$H138*Periods_Per_Year)-1</f>
        <v>0</v>
      </c>
      <c r="M150" s="89">
        <f t="shared" si="32"/>
        <v>1</v>
      </c>
      <c r="N150" s="89">
        <f t="shared" si="32"/>
        <v>2</v>
      </c>
      <c r="O150" s="89">
        <f t="shared" si="32"/>
        <v>3</v>
      </c>
      <c r="P150" s="89">
        <f t="shared" si="32"/>
        <v>4</v>
      </c>
      <c r="Q150" s="89">
        <f t="shared" si="32"/>
        <v>5</v>
      </c>
      <c r="R150" s="89">
        <f t="shared" si="32"/>
        <v>6</v>
      </c>
      <c r="S150" s="89">
        <f t="shared" si="32"/>
        <v>7</v>
      </c>
      <c r="T150" s="89">
        <f t="shared" si="32"/>
        <v>8</v>
      </c>
      <c r="U150" s="89">
        <f t="shared" si="32"/>
        <v>9</v>
      </c>
      <c r="V150" s="89">
        <f t="shared" si="32"/>
        <v>9</v>
      </c>
      <c r="W150" s="89">
        <f t="shared" si="32"/>
        <v>9</v>
      </c>
      <c r="X150" s="89">
        <f t="shared" si="32"/>
        <v>9</v>
      </c>
    </row>
    <row r="151" spans="4:24" hidden="1" outlineLevel="2">
      <c r="D151" s="113" t="s">
        <v>102</v>
      </c>
      <c r="H151" s="56"/>
      <c r="I151" s="51"/>
      <c r="K151" s="116" t="s">
        <v>95</v>
      </c>
      <c r="L151" s="124">
        <f t="shared" ref="L151:X151" si="33">L152*(1-L142)</f>
        <v>9.9999999999999978E-2</v>
      </c>
      <c r="M151" s="124">
        <f t="shared" si="33"/>
        <v>9.9999999999999978E-2</v>
      </c>
      <c r="N151" s="124">
        <f t="shared" si="33"/>
        <v>9.9999999999999978E-2</v>
      </c>
      <c r="O151" s="124">
        <f t="shared" si="33"/>
        <v>9.9999999999999978E-2</v>
      </c>
      <c r="P151" s="124">
        <f t="shared" si="33"/>
        <v>9.9999999999999978E-2</v>
      </c>
      <c r="Q151" s="124">
        <f t="shared" si="33"/>
        <v>9.9999999999999978E-2</v>
      </c>
      <c r="R151" s="124">
        <f t="shared" si="33"/>
        <v>9.9999999999999978E-2</v>
      </c>
      <c r="S151" s="124">
        <f t="shared" si="33"/>
        <v>9.9999999999999978E-2</v>
      </c>
      <c r="T151" s="124">
        <f t="shared" si="33"/>
        <v>9.9999999999999978E-2</v>
      </c>
      <c r="U151" s="124">
        <f t="shared" si="33"/>
        <v>9.9999999999999978E-2</v>
      </c>
      <c r="V151" s="124">
        <f t="shared" si="33"/>
        <v>9.9999999999999978E-2</v>
      </c>
      <c r="W151" s="124">
        <f t="shared" si="33"/>
        <v>9.9999999999999978E-2</v>
      </c>
      <c r="X151" s="124">
        <f t="shared" si="33"/>
        <v>9.9999999999999978E-2</v>
      </c>
    </row>
    <row r="152" spans="4:24" hidden="1" outlineLevel="2">
      <c r="D152" s="113" t="s">
        <v>103</v>
      </c>
      <c r="H152" s="56"/>
      <c r="I152" s="51"/>
      <c r="K152" s="116" t="s">
        <v>95</v>
      </c>
      <c r="L152" s="124">
        <f t="shared" ref="L152:X152" si="34">1-(1-MIN($H136/$H138,1))^(1/Periods_Per_Year)</f>
        <v>0.19999999999999996</v>
      </c>
      <c r="M152" s="124">
        <f t="shared" si="34"/>
        <v>0.19999999999999996</v>
      </c>
      <c r="N152" s="124">
        <f t="shared" si="34"/>
        <v>0.19999999999999996</v>
      </c>
      <c r="O152" s="124">
        <f t="shared" si="34"/>
        <v>0.19999999999999996</v>
      </c>
      <c r="P152" s="124">
        <f t="shared" si="34"/>
        <v>0.19999999999999996</v>
      </c>
      <c r="Q152" s="124">
        <f t="shared" si="34"/>
        <v>0.19999999999999996</v>
      </c>
      <c r="R152" s="124">
        <f t="shared" si="34"/>
        <v>0.19999999999999996</v>
      </c>
      <c r="S152" s="124">
        <f t="shared" si="34"/>
        <v>0.19999999999999996</v>
      </c>
      <c r="T152" s="124">
        <f t="shared" si="34"/>
        <v>0.19999999999999996</v>
      </c>
      <c r="U152" s="124">
        <f t="shared" si="34"/>
        <v>0.19999999999999996</v>
      </c>
      <c r="V152" s="124">
        <f t="shared" si="34"/>
        <v>0.19999999999999996</v>
      </c>
      <c r="W152" s="124">
        <f t="shared" si="34"/>
        <v>0.19999999999999996</v>
      </c>
      <c r="X152" s="124">
        <f t="shared" si="34"/>
        <v>0.19999999999999996</v>
      </c>
    </row>
    <row r="153" spans="4:24" hidden="1" outlineLevel="2"/>
    <row r="154" spans="4:24" hidden="1" outlineLevel="2">
      <c r="D154" s="122" t="s">
        <v>104</v>
      </c>
    </row>
    <row r="155" spans="4:24" hidden="1" outlineLevel="2">
      <c r="D155" s="113" t="s">
        <v>105</v>
      </c>
      <c r="K155" s="162" t="str">
        <f t="shared" ref="K155:K161" si="35">Currency</f>
        <v>[A$]</v>
      </c>
      <c r="L155" s="11">
        <f t="shared" ref="L155:X155" si="36">IF(L$20&lt;=$H137*Periods_Per_Year,$L$165/$H137/Periods_Per_Year,0)*($H135=1)</f>
        <v>6.25</v>
      </c>
      <c r="M155" s="11">
        <f t="shared" si="36"/>
        <v>6.25</v>
      </c>
      <c r="N155" s="11">
        <f t="shared" si="36"/>
        <v>6.25</v>
      </c>
      <c r="O155" s="11">
        <f t="shared" si="36"/>
        <v>6.25</v>
      </c>
      <c r="P155" s="11">
        <f t="shared" si="36"/>
        <v>6.25</v>
      </c>
      <c r="Q155" s="11">
        <f t="shared" si="36"/>
        <v>6.25</v>
      </c>
      <c r="R155" s="11">
        <f t="shared" si="36"/>
        <v>6.25</v>
      </c>
      <c r="S155" s="11">
        <f t="shared" si="36"/>
        <v>6.25</v>
      </c>
      <c r="T155" s="11">
        <f t="shared" si="36"/>
        <v>0</v>
      </c>
      <c r="U155" s="11">
        <f t="shared" si="36"/>
        <v>0</v>
      </c>
      <c r="V155" s="11">
        <f t="shared" si="36"/>
        <v>0</v>
      </c>
      <c r="W155" s="11">
        <f t="shared" si="36"/>
        <v>0</v>
      </c>
      <c r="X155" s="11">
        <f t="shared" si="36"/>
        <v>0</v>
      </c>
    </row>
    <row r="156" spans="4:24" hidden="1" outlineLevel="2">
      <c r="D156" s="113" t="s">
        <v>106</v>
      </c>
      <c r="K156" s="162" t="str">
        <f t="shared" si="35"/>
        <v>[A$]</v>
      </c>
      <c r="L156" s="11">
        <f t="shared" ref="L156:X156" si="37">L143*(1-L142)/($H138*Periods_Per_Year)*($H135=1)</f>
        <v>1.25</v>
      </c>
      <c r="M156" s="11">
        <f t="shared" si="37"/>
        <v>0</v>
      </c>
      <c r="N156" s="11">
        <f t="shared" si="37"/>
        <v>0</v>
      </c>
      <c r="O156" s="11">
        <f t="shared" si="37"/>
        <v>0</v>
      </c>
      <c r="P156" s="11">
        <f t="shared" si="37"/>
        <v>1.5</v>
      </c>
      <c r="Q156" s="11">
        <f t="shared" si="37"/>
        <v>0</v>
      </c>
      <c r="R156" s="11">
        <f t="shared" si="37"/>
        <v>0</v>
      </c>
      <c r="S156" s="11">
        <f t="shared" si="37"/>
        <v>0</v>
      </c>
      <c r="T156" s="11">
        <f t="shared" si="37"/>
        <v>1.75</v>
      </c>
      <c r="U156" s="11">
        <f t="shared" si="37"/>
        <v>0</v>
      </c>
      <c r="V156" s="11">
        <f t="shared" si="37"/>
        <v>0</v>
      </c>
      <c r="W156" s="11">
        <f t="shared" si="37"/>
        <v>0</v>
      </c>
      <c r="X156" s="11">
        <f t="shared" si="37"/>
        <v>0</v>
      </c>
    </row>
    <row r="157" spans="4:24" hidden="1" outlineLevel="2">
      <c r="D157" s="113" t="s">
        <v>107</v>
      </c>
      <c r="K157" s="162" t="str">
        <f t="shared" si="35"/>
        <v>[A$]</v>
      </c>
      <c r="L157" s="11">
        <f t="shared" ref="L157:X157" ca="1" si="38">IF(L150=0,0,SUM(OFFSET(L143,0,-L150,1,L150))/($H138*Periods_Per_Year))*($H135=1)</f>
        <v>0</v>
      </c>
      <c r="M157" s="11">
        <f t="shared" ca="1" si="38"/>
        <v>2.5</v>
      </c>
      <c r="N157" s="11">
        <f t="shared" ca="1" si="38"/>
        <v>2.5</v>
      </c>
      <c r="O157" s="11">
        <f t="shared" ca="1" si="38"/>
        <v>2.5</v>
      </c>
      <c r="P157" s="11">
        <f t="shared" ca="1" si="38"/>
        <v>2.5</v>
      </c>
      <c r="Q157" s="11">
        <f t="shared" ca="1" si="38"/>
        <v>5.5</v>
      </c>
      <c r="R157" s="11">
        <f t="shared" ca="1" si="38"/>
        <v>5.5</v>
      </c>
      <c r="S157" s="11">
        <f t="shared" ca="1" si="38"/>
        <v>5.5</v>
      </c>
      <c r="T157" s="11">
        <f t="shared" ca="1" si="38"/>
        <v>5.5</v>
      </c>
      <c r="U157" s="11">
        <f t="shared" ca="1" si="38"/>
        <v>9</v>
      </c>
      <c r="V157" s="11">
        <f t="shared" ca="1" si="38"/>
        <v>6.5</v>
      </c>
      <c r="W157" s="11">
        <f t="shared" ca="1" si="38"/>
        <v>6.5</v>
      </c>
      <c r="X157" s="11">
        <f t="shared" ca="1" si="38"/>
        <v>6.5</v>
      </c>
    </row>
    <row r="158" spans="4:24" hidden="1" outlineLevel="2">
      <c r="D158" s="113" t="s">
        <v>108</v>
      </c>
      <c r="K158" s="162" t="str">
        <f t="shared" si="35"/>
        <v>[A$]</v>
      </c>
      <c r="L158" s="11">
        <f>SUMIF($K148:L148,L$20,$K149:L149)*($H135=1)</f>
        <v>0</v>
      </c>
      <c r="M158" s="11">
        <f>SUMIF($K148:M148,M$20,$K149:M149)*($H135=1)</f>
        <v>0</v>
      </c>
      <c r="N158" s="11">
        <f>SUMIF($K148:N148,N$20,$K149:N149)*($H135=1)</f>
        <v>0</v>
      </c>
      <c r="O158" s="11">
        <f>SUMIF($K148:O148,O$20,$K149:O149)*($H135=1)</f>
        <v>0</v>
      </c>
      <c r="P158" s="11">
        <f>SUMIF($K148:P148,P$20,$K149:P149)*($H135=1)</f>
        <v>0</v>
      </c>
      <c r="Q158" s="11">
        <f>SUMIF($K148:Q148,Q$20,$K149:Q149)*($H135=1)</f>
        <v>0</v>
      </c>
      <c r="R158" s="11">
        <f>SUMIF($K148:R148,R$20,$K149:R149)*($H135=1)</f>
        <v>0</v>
      </c>
      <c r="S158" s="11">
        <f>SUMIF($K148:S148,S$20,$K149:S149)*($H135=1)</f>
        <v>0</v>
      </c>
      <c r="T158" s="11">
        <f>SUMIF($K148:T148,T$20,$K149:T149)*($H135=1)</f>
        <v>0</v>
      </c>
      <c r="U158" s="11">
        <f>SUMIF($K148:U148,U$20,$K149:U149)*($H135=1)</f>
        <v>0</v>
      </c>
      <c r="V158" s="11">
        <f>SUMIF($K148:V148,V$20,$K149:V149)*($H135=1)</f>
        <v>1.25</v>
      </c>
      <c r="W158" s="11">
        <f>SUMIF($K148:W148,W$20,$K149:W149)*($H135=1)</f>
        <v>0</v>
      </c>
      <c r="X158" s="11">
        <f>SUMIF($K148:X148,X$20,$K149:X149)*($H135=1)</f>
        <v>0</v>
      </c>
    </row>
    <row r="159" spans="4:24" hidden="1" outlineLevel="2">
      <c r="D159" s="113" t="s">
        <v>109</v>
      </c>
      <c r="K159" s="162" t="str">
        <f t="shared" si="35"/>
        <v>[A$]</v>
      </c>
      <c r="L159" s="11">
        <f t="shared" ref="L159:X159" si="39">L165*L152*($H135=2)</f>
        <v>0</v>
      </c>
      <c r="M159" s="11">
        <f t="shared" ca="1" si="39"/>
        <v>0</v>
      </c>
      <c r="N159" s="11">
        <f t="shared" ca="1" si="39"/>
        <v>0</v>
      </c>
      <c r="O159" s="11">
        <f t="shared" ca="1" si="39"/>
        <v>0</v>
      </c>
      <c r="P159" s="11">
        <f t="shared" ca="1" si="39"/>
        <v>0</v>
      </c>
      <c r="Q159" s="11">
        <f t="shared" ca="1" si="39"/>
        <v>0</v>
      </c>
      <c r="R159" s="11">
        <f t="shared" ca="1" si="39"/>
        <v>0</v>
      </c>
      <c r="S159" s="11">
        <f t="shared" ca="1" si="39"/>
        <v>0</v>
      </c>
      <c r="T159" s="11">
        <f t="shared" ca="1" si="39"/>
        <v>0</v>
      </c>
      <c r="U159" s="11">
        <f t="shared" ca="1" si="39"/>
        <v>0</v>
      </c>
      <c r="V159" s="11">
        <f t="shared" ca="1" si="39"/>
        <v>0</v>
      </c>
      <c r="W159" s="11">
        <f t="shared" ca="1" si="39"/>
        <v>0</v>
      </c>
      <c r="X159" s="11">
        <f t="shared" ca="1" si="39"/>
        <v>0</v>
      </c>
    </row>
    <row r="160" spans="4:24" hidden="1" outlineLevel="2">
      <c r="D160" s="113" t="s">
        <v>110</v>
      </c>
      <c r="K160" s="162" t="str">
        <f t="shared" si="35"/>
        <v>[A$]</v>
      </c>
      <c r="L160" s="11">
        <f t="shared" ref="L160:X160" si="40">L166*L151*($H135=2)</f>
        <v>0</v>
      </c>
      <c r="M160" s="11">
        <f t="shared" si="40"/>
        <v>0</v>
      </c>
      <c r="N160" s="11">
        <f t="shared" si="40"/>
        <v>0</v>
      </c>
      <c r="O160" s="11">
        <f t="shared" si="40"/>
        <v>0</v>
      </c>
      <c r="P160" s="11">
        <f t="shared" si="40"/>
        <v>0</v>
      </c>
      <c r="Q160" s="11">
        <f t="shared" si="40"/>
        <v>0</v>
      </c>
      <c r="R160" s="11">
        <f t="shared" si="40"/>
        <v>0</v>
      </c>
      <c r="S160" s="11">
        <f t="shared" si="40"/>
        <v>0</v>
      </c>
      <c r="T160" s="11">
        <f t="shared" si="40"/>
        <v>0</v>
      </c>
      <c r="U160" s="11">
        <f t="shared" si="40"/>
        <v>0</v>
      </c>
      <c r="V160" s="11">
        <f t="shared" si="40"/>
        <v>0</v>
      </c>
      <c r="W160" s="11">
        <f t="shared" si="40"/>
        <v>0</v>
      </c>
      <c r="X160" s="11">
        <f t="shared" si="40"/>
        <v>0</v>
      </c>
    </row>
    <row r="161" spans="3:24" hidden="1" outlineLevel="2">
      <c r="D161" s="113" t="s">
        <v>111</v>
      </c>
      <c r="K161" s="162" t="str">
        <f t="shared" si="35"/>
        <v>[A$]</v>
      </c>
      <c r="L161" s="18">
        <f ca="1">SUM(L155:L160)</f>
        <v>7.5</v>
      </c>
      <c r="M161" s="18">
        <f t="shared" ref="M161:X161" ca="1" si="41">SUM(M155:M160)</f>
        <v>8.75</v>
      </c>
      <c r="N161" s="18">
        <f t="shared" ca="1" si="41"/>
        <v>8.75</v>
      </c>
      <c r="O161" s="18">
        <f t="shared" ca="1" si="41"/>
        <v>8.75</v>
      </c>
      <c r="P161" s="18">
        <f t="shared" ca="1" si="41"/>
        <v>10.25</v>
      </c>
      <c r="Q161" s="18">
        <f t="shared" ca="1" si="41"/>
        <v>11.75</v>
      </c>
      <c r="R161" s="18">
        <f t="shared" ca="1" si="41"/>
        <v>11.75</v>
      </c>
      <c r="S161" s="18">
        <f t="shared" ca="1" si="41"/>
        <v>11.75</v>
      </c>
      <c r="T161" s="18">
        <f t="shared" ca="1" si="41"/>
        <v>7.25</v>
      </c>
      <c r="U161" s="18">
        <f t="shared" ca="1" si="41"/>
        <v>9</v>
      </c>
      <c r="V161" s="18">
        <f t="shared" ca="1" si="41"/>
        <v>7.75</v>
      </c>
      <c r="W161" s="18">
        <f t="shared" ca="1" si="41"/>
        <v>6.5</v>
      </c>
      <c r="X161" s="18">
        <f t="shared" ca="1" si="41"/>
        <v>6.5</v>
      </c>
    </row>
    <row r="162" spans="3:24" hidden="1" outlineLevel="2">
      <c r="D162" s="119"/>
    </row>
    <row r="163" spans="3:24" hidden="1" outlineLevel="1" collapsed="1">
      <c r="D163" s="120" t="s">
        <v>112</v>
      </c>
    </row>
    <row r="164" spans="3:24" hidden="1" outlineLevel="1">
      <c r="D164" s="119"/>
    </row>
    <row r="165" spans="3:24" hidden="1" outlineLevel="1">
      <c r="D165" s="113" t="s">
        <v>74</v>
      </c>
      <c r="K165" s="162" t="str">
        <f>Currency</f>
        <v>[A$]</v>
      </c>
      <c r="L165" s="12">
        <v>50</v>
      </c>
      <c r="M165" s="11">
        <f t="shared" ref="M165:X165" ca="1" si="42">L168</f>
        <v>67.5</v>
      </c>
      <c r="N165" s="11">
        <f t="shared" ca="1" si="42"/>
        <v>58.75</v>
      </c>
      <c r="O165" s="11">
        <f t="shared" ca="1" si="42"/>
        <v>50</v>
      </c>
      <c r="P165" s="11">
        <f t="shared" ca="1" si="42"/>
        <v>41.25</v>
      </c>
      <c r="Q165" s="11">
        <f t="shared" ca="1" si="42"/>
        <v>61</v>
      </c>
      <c r="R165" s="11">
        <f t="shared" ca="1" si="42"/>
        <v>49.25</v>
      </c>
      <c r="S165" s="11">
        <f t="shared" ca="1" si="42"/>
        <v>37.5</v>
      </c>
      <c r="T165" s="11">
        <f t="shared" ca="1" si="42"/>
        <v>25.75</v>
      </c>
      <c r="U165" s="11">
        <f t="shared" ca="1" si="42"/>
        <v>53.5</v>
      </c>
      <c r="V165" s="11">
        <f t="shared" ca="1" si="42"/>
        <v>44.5</v>
      </c>
      <c r="W165" s="11">
        <f t="shared" ca="1" si="42"/>
        <v>36.75</v>
      </c>
      <c r="X165" s="11">
        <f t="shared" ca="1" si="42"/>
        <v>30.25</v>
      </c>
    </row>
    <row r="166" spans="3:24" hidden="1" outlineLevel="1">
      <c r="D166" s="113" t="s">
        <v>61</v>
      </c>
      <c r="K166" s="162" t="str">
        <f>Currency</f>
        <v>[A$]</v>
      </c>
      <c r="L166" s="11">
        <f t="shared" ref="L166:X166" si="43">L143</f>
        <v>25</v>
      </c>
      <c r="M166" s="11">
        <f t="shared" si="43"/>
        <v>0</v>
      </c>
      <c r="N166" s="11">
        <f t="shared" si="43"/>
        <v>0</v>
      </c>
      <c r="O166" s="11">
        <f t="shared" si="43"/>
        <v>0</v>
      </c>
      <c r="P166" s="11">
        <f t="shared" si="43"/>
        <v>30</v>
      </c>
      <c r="Q166" s="11">
        <f t="shared" si="43"/>
        <v>0</v>
      </c>
      <c r="R166" s="11">
        <f t="shared" si="43"/>
        <v>0</v>
      </c>
      <c r="S166" s="11">
        <f t="shared" si="43"/>
        <v>0</v>
      </c>
      <c r="T166" s="11">
        <f t="shared" si="43"/>
        <v>35</v>
      </c>
      <c r="U166" s="11">
        <f t="shared" si="43"/>
        <v>0</v>
      </c>
      <c r="V166" s="11">
        <f t="shared" si="43"/>
        <v>0</v>
      </c>
      <c r="W166" s="11">
        <f t="shared" si="43"/>
        <v>0</v>
      </c>
      <c r="X166" s="11">
        <f t="shared" si="43"/>
        <v>0</v>
      </c>
    </row>
    <row r="167" spans="3:24" hidden="1" outlineLevel="1">
      <c r="D167" s="113" t="s">
        <v>104</v>
      </c>
      <c r="K167" s="162" t="str">
        <f>Currency</f>
        <v>[A$]</v>
      </c>
      <c r="L167" s="11">
        <f ca="1">-L161</f>
        <v>-7.5</v>
      </c>
      <c r="M167" s="11">
        <f t="shared" ref="M167:X167" ca="1" si="44">-M161</f>
        <v>-8.75</v>
      </c>
      <c r="N167" s="11">
        <f t="shared" ca="1" si="44"/>
        <v>-8.75</v>
      </c>
      <c r="O167" s="11">
        <f t="shared" ca="1" si="44"/>
        <v>-8.75</v>
      </c>
      <c r="P167" s="11">
        <f t="shared" ca="1" si="44"/>
        <v>-10.25</v>
      </c>
      <c r="Q167" s="11">
        <f t="shared" ca="1" si="44"/>
        <v>-11.75</v>
      </c>
      <c r="R167" s="11">
        <f t="shared" ca="1" si="44"/>
        <v>-11.75</v>
      </c>
      <c r="S167" s="11">
        <f t="shared" ca="1" si="44"/>
        <v>-11.75</v>
      </c>
      <c r="T167" s="11">
        <f t="shared" ca="1" si="44"/>
        <v>-7.25</v>
      </c>
      <c r="U167" s="11">
        <f t="shared" ca="1" si="44"/>
        <v>-9</v>
      </c>
      <c r="V167" s="11">
        <f t="shared" ca="1" si="44"/>
        <v>-7.75</v>
      </c>
      <c r="W167" s="11">
        <f t="shared" ca="1" si="44"/>
        <v>-6.5</v>
      </c>
      <c r="X167" s="11">
        <f t="shared" ca="1" si="44"/>
        <v>-6.5</v>
      </c>
    </row>
    <row r="168" spans="3:24" hidden="1" outlineLevel="1">
      <c r="D168" s="113" t="s">
        <v>77</v>
      </c>
      <c r="K168" s="162" t="str">
        <f>Currency</f>
        <v>[A$]</v>
      </c>
      <c r="L168" s="18">
        <f ca="1">SUM(L165:L167)</f>
        <v>67.5</v>
      </c>
      <c r="M168" s="18">
        <f t="shared" ref="M168:X168" ca="1" si="45">SUM(M165:M167)</f>
        <v>58.75</v>
      </c>
      <c r="N168" s="18">
        <f t="shared" ca="1" si="45"/>
        <v>50</v>
      </c>
      <c r="O168" s="18">
        <f t="shared" ca="1" si="45"/>
        <v>41.25</v>
      </c>
      <c r="P168" s="18">
        <f t="shared" ca="1" si="45"/>
        <v>61</v>
      </c>
      <c r="Q168" s="18">
        <f t="shared" ca="1" si="45"/>
        <v>49.25</v>
      </c>
      <c r="R168" s="18">
        <f t="shared" ca="1" si="45"/>
        <v>37.5</v>
      </c>
      <c r="S168" s="18">
        <f t="shared" ca="1" si="45"/>
        <v>25.75</v>
      </c>
      <c r="T168" s="18">
        <f t="shared" ca="1" si="45"/>
        <v>53.5</v>
      </c>
      <c r="U168" s="18">
        <f t="shared" ca="1" si="45"/>
        <v>44.5</v>
      </c>
      <c r="V168" s="18">
        <f t="shared" ca="1" si="45"/>
        <v>36.75</v>
      </c>
      <c r="W168" s="18">
        <f t="shared" ca="1" si="45"/>
        <v>30.25</v>
      </c>
      <c r="X168" s="18">
        <f t="shared" ca="1" si="45"/>
        <v>23.75</v>
      </c>
    </row>
    <row r="169" spans="3:24" collapsed="1"/>
    <row r="170" spans="3:24" s="29" customFormat="1" ht="12">
      <c r="C170" s="29" t="s">
        <v>113</v>
      </c>
    </row>
    <row r="171" spans="3:24" hidden="1" outlineLevel="1"/>
    <row r="172" spans="3:24" hidden="1" outlineLevel="1">
      <c r="D172" s="9" t="s">
        <v>114</v>
      </c>
    </row>
    <row r="173" spans="3:24" hidden="1" outlineLevel="1"/>
    <row r="174" spans="3:24" hidden="1" outlineLevel="1">
      <c r="D174" s="27" t="s">
        <v>115</v>
      </c>
      <c r="L174" s="13">
        <v>0.5</v>
      </c>
      <c r="M174" s="13">
        <v>0.5</v>
      </c>
      <c r="N174" s="13">
        <v>0.5</v>
      </c>
      <c r="O174" s="13">
        <v>0.5</v>
      </c>
      <c r="P174" s="13">
        <v>0.5</v>
      </c>
      <c r="Q174" s="13">
        <v>0.5</v>
      </c>
      <c r="R174" s="13">
        <v>0.5</v>
      </c>
      <c r="S174" s="13">
        <v>0.5</v>
      </c>
      <c r="T174" s="13">
        <v>0.5</v>
      </c>
      <c r="U174" s="13">
        <v>0.5</v>
      </c>
      <c r="V174" s="13">
        <v>0.5</v>
      </c>
      <c r="W174" s="13">
        <v>0.5</v>
      </c>
      <c r="X174" s="13">
        <v>0.5</v>
      </c>
    </row>
    <row r="175" spans="3:24" hidden="1" outlineLevel="1"/>
    <row r="176" spans="3:24" hidden="1" outlineLevel="1">
      <c r="D176" s="27" t="s">
        <v>74</v>
      </c>
      <c r="L176" s="12">
        <v>15</v>
      </c>
      <c r="M176" s="11">
        <f>L179</f>
        <v>40</v>
      </c>
      <c r="N176" s="11">
        <f t="shared" ref="N176:X176" si="46">M179</f>
        <v>40</v>
      </c>
      <c r="O176" s="11">
        <f t="shared" si="46"/>
        <v>40</v>
      </c>
      <c r="P176" s="11">
        <f t="shared" si="46"/>
        <v>40</v>
      </c>
      <c r="Q176" s="11">
        <f t="shared" si="46"/>
        <v>70</v>
      </c>
      <c r="R176" s="11">
        <f t="shared" si="46"/>
        <v>70</v>
      </c>
      <c r="S176" s="11">
        <f t="shared" si="46"/>
        <v>70</v>
      </c>
      <c r="T176" s="11">
        <f t="shared" si="46"/>
        <v>70</v>
      </c>
      <c r="U176" s="11">
        <f t="shared" si="46"/>
        <v>105</v>
      </c>
      <c r="V176" s="11">
        <f t="shared" si="46"/>
        <v>105</v>
      </c>
      <c r="W176" s="11">
        <f t="shared" si="46"/>
        <v>105</v>
      </c>
      <c r="X176" s="11">
        <f t="shared" si="46"/>
        <v>105</v>
      </c>
    </row>
    <row r="177" spans="3:24" hidden="1" outlineLevel="1">
      <c r="D177" s="27" t="s">
        <v>116</v>
      </c>
      <c r="L177" s="12">
        <v>25</v>
      </c>
      <c r="M177" s="12">
        <v>0</v>
      </c>
      <c r="N177" s="12">
        <v>0</v>
      </c>
      <c r="O177" s="12">
        <v>0</v>
      </c>
      <c r="P177" s="12">
        <v>30</v>
      </c>
      <c r="Q177" s="12">
        <v>0</v>
      </c>
      <c r="R177" s="12">
        <v>0</v>
      </c>
      <c r="S177" s="12">
        <v>0</v>
      </c>
      <c r="T177" s="12">
        <v>35</v>
      </c>
      <c r="U177" s="12">
        <v>0</v>
      </c>
      <c r="V177" s="12">
        <v>0</v>
      </c>
      <c r="W177" s="12">
        <v>0</v>
      </c>
      <c r="X177" s="12">
        <v>0</v>
      </c>
    </row>
    <row r="178" spans="3:24" hidden="1" outlineLevel="1">
      <c r="D178" s="27" t="s">
        <v>117</v>
      </c>
      <c r="L178" s="57">
        <v>0</v>
      </c>
      <c r="M178" s="57">
        <v>0</v>
      </c>
      <c r="N178" s="57">
        <v>0</v>
      </c>
      <c r="O178" s="57">
        <v>0</v>
      </c>
      <c r="P178" s="57">
        <v>0</v>
      </c>
      <c r="Q178" s="57">
        <v>0</v>
      </c>
      <c r="R178" s="57">
        <v>0</v>
      </c>
      <c r="S178" s="57">
        <v>0</v>
      </c>
      <c r="T178" s="57">
        <v>0</v>
      </c>
      <c r="U178" s="57">
        <v>0</v>
      </c>
      <c r="V178" s="57">
        <v>0</v>
      </c>
      <c r="W178" s="57">
        <v>0</v>
      </c>
      <c r="X178" s="57">
        <v>0</v>
      </c>
    </row>
    <row r="179" spans="3:24" hidden="1" outlineLevel="1">
      <c r="D179" s="27" t="s">
        <v>77</v>
      </c>
      <c r="L179" s="18">
        <f>L176+L177-L178</f>
        <v>40</v>
      </c>
      <c r="M179" s="18">
        <f t="shared" ref="M179:X179" si="47">M176+M177-M178</f>
        <v>40</v>
      </c>
      <c r="N179" s="18">
        <f t="shared" si="47"/>
        <v>40</v>
      </c>
      <c r="O179" s="18">
        <f t="shared" si="47"/>
        <v>40</v>
      </c>
      <c r="P179" s="18">
        <f t="shared" si="47"/>
        <v>70</v>
      </c>
      <c r="Q179" s="18">
        <f t="shared" si="47"/>
        <v>70</v>
      </c>
      <c r="R179" s="18">
        <f t="shared" si="47"/>
        <v>70</v>
      </c>
      <c r="S179" s="18">
        <f t="shared" si="47"/>
        <v>70</v>
      </c>
      <c r="T179" s="18">
        <f t="shared" si="47"/>
        <v>105</v>
      </c>
      <c r="U179" s="18">
        <f t="shared" si="47"/>
        <v>105</v>
      </c>
      <c r="V179" s="18">
        <f t="shared" si="47"/>
        <v>105</v>
      </c>
      <c r="W179" s="18">
        <f t="shared" si="47"/>
        <v>105</v>
      </c>
      <c r="X179" s="18">
        <f t="shared" si="47"/>
        <v>105</v>
      </c>
    </row>
    <row r="180" spans="3:24" hidden="1" outlineLevel="1"/>
    <row r="181" spans="3:24" hidden="1" outlineLevel="1">
      <c r="D181" s="27" t="s">
        <v>118</v>
      </c>
      <c r="L181" s="11">
        <f t="shared" ref="L181:X181" si="48">L174*L176+(1-L174)*L179</f>
        <v>27.5</v>
      </c>
      <c r="M181" s="11">
        <f t="shared" si="48"/>
        <v>40</v>
      </c>
      <c r="N181" s="11">
        <f t="shared" si="48"/>
        <v>40</v>
      </c>
      <c r="O181" s="11">
        <f t="shared" si="48"/>
        <v>40</v>
      </c>
      <c r="P181" s="11">
        <f t="shared" si="48"/>
        <v>55</v>
      </c>
      <c r="Q181" s="11">
        <f t="shared" si="48"/>
        <v>70</v>
      </c>
      <c r="R181" s="11">
        <f t="shared" si="48"/>
        <v>70</v>
      </c>
      <c r="S181" s="11">
        <f t="shared" si="48"/>
        <v>70</v>
      </c>
      <c r="T181" s="11">
        <f t="shared" si="48"/>
        <v>87.5</v>
      </c>
      <c r="U181" s="11">
        <f t="shared" si="48"/>
        <v>105</v>
      </c>
      <c r="V181" s="11">
        <f t="shared" si="48"/>
        <v>105</v>
      </c>
      <c r="W181" s="11">
        <f t="shared" si="48"/>
        <v>105</v>
      </c>
      <c r="X181" s="11">
        <f t="shared" si="48"/>
        <v>105</v>
      </c>
    </row>
    <row r="182" spans="3:24" hidden="1" outlineLevel="1"/>
    <row r="183" spans="3:24" hidden="1" outlineLevel="1">
      <c r="D183" s="27" t="s">
        <v>119</v>
      </c>
      <c r="L183" s="13">
        <v>4.4999999999999998E-2</v>
      </c>
      <c r="M183" s="13">
        <v>4.4999999999999998E-2</v>
      </c>
      <c r="N183" s="13">
        <v>4.4999999999999998E-2</v>
      </c>
      <c r="O183" s="13">
        <v>4.4999999999999998E-2</v>
      </c>
      <c r="P183" s="13">
        <v>4.4999999999999998E-2</v>
      </c>
      <c r="Q183" s="13">
        <v>4.4999999999999998E-2</v>
      </c>
      <c r="R183" s="13">
        <v>4.4999999999999998E-2</v>
      </c>
      <c r="S183" s="13">
        <v>4.4999999999999998E-2</v>
      </c>
      <c r="T183" s="13">
        <v>4.4999999999999998E-2</v>
      </c>
      <c r="U183" s="13">
        <v>4.4999999999999998E-2</v>
      </c>
      <c r="V183" s="13">
        <v>4.4999999999999998E-2</v>
      </c>
      <c r="W183" s="13">
        <v>4.4999999999999998E-2</v>
      </c>
      <c r="X183" s="13">
        <v>4.4999999999999998E-2</v>
      </c>
    </row>
    <row r="184" spans="3:24" hidden="1" outlineLevel="1"/>
    <row r="185" spans="3:24" hidden="1" outlineLevel="1">
      <c r="D185" s="27" t="s">
        <v>120</v>
      </c>
      <c r="L185" s="12">
        <v>2</v>
      </c>
      <c r="M185" s="11">
        <f>L188</f>
        <v>1.9999999999999998</v>
      </c>
      <c r="N185" s="11">
        <f t="shared" ref="N185:X185" si="49">M188</f>
        <v>2</v>
      </c>
      <c r="O185" s="11">
        <f t="shared" si="49"/>
        <v>2</v>
      </c>
      <c r="P185" s="11">
        <f t="shared" si="49"/>
        <v>2</v>
      </c>
      <c r="Q185" s="11">
        <f t="shared" si="49"/>
        <v>1.9999999999999996</v>
      </c>
      <c r="R185" s="11">
        <f t="shared" si="49"/>
        <v>1.9999999999999996</v>
      </c>
      <c r="S185" s="11">
        <f t="shared" si="49"/>
        <v>1.9999999999999996</v>
      </c>
      <c r="T185" s="11">
        <f t="shared" si="49"/>
        <v>1.9999999999999996</v>
      </c>
      <c r="U185" s="11">
        <f t="shared" si="49"/>
        <v>2</v>
      </c>
      <c r="V185" s="11">
        <f t="shared" si="49"/>
        <v>2</v>
      </c>
      <c r="W185" s="11">
        <f t="shared" si="49"/>
        <v>2</v>
      </c>
      <c r="X185" s="11">
        <f t="shared" si="49"/>
        <v>2</v>
      </c>
    </row>
    <row r="186" spans="3:24" hidden="1" outlineLevel="1">
      <c r="D186" s="27" t="s">
        <v>121</v>
      </c>
      <c r="L186" s="11">
        <f t="shared" ref="L186:X186" si="50">L183*L181</f>
        <v>1.2375</v>
      </c>
      <c r="M186" s="11">
        <f t="shared" si="50"/>
        <v>1.7999999999999998</v>
      </c>
      <c r="N186" s="11">
        <f t="shared" si="50"/>
        <v>1.7999999999999998</v>
      </c>
      <c r="O186" s="11">
        <f t="shared" si="50"/>
        <v>1.7999999999999998</v>
      </c>
      <c r="P186" s="11">
        <f t="shared" si="50"/>
        <v>2.4750000000000001</v>
      </c>
      <c r="Q186" s="11">
        <f t="shared" si="50"/>
        <v>3.15</v>
      </c>
      <c r="R186" s="11">
        <f t="shared" si="50"/>
        <v>3.15</v>
      </c>
      <c r="S186" s="11">
        <f t="shared" si="50"/>
        <v>3.15</v>
      </c>
      <c r="T186" s="11">
        <f t="shared" si="50"/>
        <v>3.9375</v>
      </c>
      <c r="U186" s="11">
        <f t="shared" si="50"/>
        <v>4.7249999999999996</v>
      </c>
      <c r="V186" s="11">
        <f t="shared" si="50"/>
        <v>4.7249999999999996</v>
      </c>
      <c r="W186" s="11">
        <f t="shared" si="50"/>
        <v>4.7249999999999996</v>
      </c>
      <c r="X186" s="11">
        <f t="shared" si="50"/>
        <v>4.7249999999999996</v>
      </c>
    </row>
    <row r="187" spans="3:24" hidden="1" outlineLevel="1">
      <c r="D187" s="27" t="s">
        <v>122</v>
      </c>
      <c r="L187" s="11">
        <f>-L186</f>
        <v>-1.2375</v>
      </c>
      <c r="M187" s="11">
        <f t="shared" ref="M187:X187" si="51">-M186</f>
        <v>-1.7999999999999998</v>
      </c>
      <c r="N187" s="11">
        <f t="shared" si="51"/>
        <v>-1.7999999999999998</v>
      </c>
      <c r="O187" s="11">
        <f t="shared" si="51"/>
        <v>-1.7999999999999998</v>
      </c>
      <c r="P187" s="11">
        <f t="shared" si="51"/>
        <v>-2.4750000000000001</v>
      </c>
      <c r="Q187" s="11">
        <f t="shared" si="51"/>
        <v>-3.15</v>
      </c>
      <c r="R187" s="11">
        <f t="shared" si="51"/>
        <v>-3.15</v>
      </c>
      <c r="S187" s="11">
        <f t="shared" si="51"/>
        <v>-3.15</v>
      </c>
      <c r="T187" s="11">
        <f t="shared" si="51"/>
        <v>-3.9375</v>
      </c>
      <c r="U187" s="11">
        <f t="shared" si="51"/>
        <v>-4.7249999999999996</v>
      </c>
      <c r="V187" s="11">
        <f t="shared" si="51"/>
        <v>-4.7249999999999996</v>
      </c>
      <c r="W187" s="11">
        <f t="shared" si="51"/>
        <v>-4.7249999999999996</v>
      </c>
      <c r="X187" s="11">
        <f t="shared" si="51"/>
        <v>-4.7249999999999996</v>
      </c>
    </row>
    <row r="188" spans="3:24" hidden="1" outlineLevel="1">
      <c r="D188" s="27" t="s">
        <v>123</v>
      </c>
      <c r="L188" s="18">
        <f>SUM(L185:L187)</f>
        <v>1.9999999999999998</v>
      </c>
      <c r="M188" s="18">
        <f t="shared" ref="M188:X188" si="52">SUM(M185:M187)</f>
        <v>2</v>
      </c>
      <c r="N188" s="18">
        <f t="shared" si="52"/>
        <v>2</v>
      </c>
      <c r="O188" s="18">
        <f t="shared" si="52"/>
        <v>2</v>
      </c>
      <c r="P188" s="18">
        <f t="shared" si="52"/>
        <v>1.9999999999999996</v>
      </c>
      <c r="Q188" s="18">
        <f t="shared" si="52"/>
        <v>1.9999999999999996</v>
      </c>
      <c r="R188" s="18">
        <f t="shared" si="52"/>
        <v>1.9999999999999996</v>
      </c>
      <c r="S188" s="18">
        <f t="shared" si="52"/>
        <v>1.9999999999999996</v>
      </c>
      <c r="T188" s="18">
        <f t="shared" si="52"/>
        <v>2</v>
      </c>
      <c r="U188" s="18">
        <f t="shared" si="52"/>
        <v>2</v>
      </c>
      <c r="V188" s="18">
        <f t="shared" si="52"/>
        <v>2</v>
      </c>
      <c r="W188" s="18">
        <f t="shared" si="52"/>
        <v>2</v>
      </c>
      <c r="X188" s="18">
        <f t="shared" si="52"/>
        <v>2</v>
      </c>
    </row>
    <row r="189" spans="3:24" collapsed="1"/>
    <row r="190" spans="3:24" s="29" customFormat="1" ht="12">
      <c r="C190" s="29" t="s">
        <v>124</v>
      </c>
    </row>
    <row r="191" spans="3:24" hidden="1" outlineLevel="1"/>
    <row r="192" spans="3:24" hidden="1" outlineLevel="1">
      <c r="D192" s="27" t="s">
        <v>125</v>
      </c>
      <c r="L192" s="12">
        <v>40</v>
      </c>
      <c r="M192" s="11">
        <f t="shared" ref="M192:X192" si="53">L195</f>
        <v>40</v>
      </c>
      <c r="N192" s="11">
        <f t="shared" si="53"/>
        <v>40</v>
      </c>
      <c r="O192" s="11">
        <f t="shared" si="53"/>
        <v>40</v>
      </c>
      <c r="P192" s="11">
        <f t="shared" si="53"/>
        <v>40</v>
      </c>
      <c r="Q192" s="11">
        <f t="shared" si="53"/>
        <v>40</v>
      </c>
      <c r="R192" s="11">
        <f t="shared" si="53"/>
        <v>40</v>
      </c>
      <c r="S192" s="11">
        <f t="shared" si="53"/>
        <v>40</v>
      </c>
      <c r="T192" s="11">
        <f t="shared" si="53"/>
        <v>40</v>
      </c>
      <c r="U192" s="11">
        <f t="shared" si="53"/>
        <v>40</v>
      </c>
      <c r="V192" s="11">
        <f t="shared" si="53"/>
        <v>40</v>
      </c>
      <c r="W192" s="11">
        <f t="shared" si="53"/>
        <v>40</v>
      </c>
      <c r="X192" s="11">
        <f t="shared" si="53"/>
        <v>40</v>
      </c>
    </row>
    <row r="193" spans="4:24" hidden="1" outlineLevel="1">
      <c r="D193" s="27" t="s">
        <v>126</v>
      </c>
      <c r="L193" s="11">
        <f>MAX(0,L195-L192)</f>
        <v>0</v>
      </c>
      <c r="M193" s="11">
        <f t="shared" ref="M193:X193" si="54">MAX(0,M195-M192)</f>
        <v>0</v>
      </c>
      <c r="N193" s="11">
        <f t="shared" si="54"/>
        <v>0</v>
      </c>
      <c r="O193" s="11">
        <f t="shared" si="54"/>
        <v>0</v>
      </c>
      <c r="P193" s="11">
        <f t="shared" si="54"/>
        <v>0</v>
      </c>
      <c r="Q193" s="11">
        <f t="shared" si="54"/>
        <v>0</v>
      </c>
      <c r="R193" s="11">
        <f t="shared" si="54"/>
        <v>0</v>
      </c>
      <c r="S193" s="11">
        <f t="shared" si="54"/>
        <v>0</v>
      </c>
      <c r="T193" s="11">
        <f t="shared" si="54"/>
        <v>0</v>
      </c>
      <c r="U193" s="11">
        <f t="shared" si="54"/>
        <v>0</v>
      </c>
      <c r="V193" s="11">
        <f t="shared" si="54"/>
        <v>0</v>
      </c>
      <c r="W193" s="11">
        <f t="shared" si="54"/>
        <v>0</v>
      </c>
      <c r="X193" s="11">
        <f t="shared" si="54"/>
        <v>0</v>
      </c>
    </row>
    <row r="194" spans="4:24" hidden="1" outlineLevel="1">
      <c r="D194" s="27" t="s">
        <v>127</v>
      </c>
      <c r="L194" s="11">
        <f>MIN(L195-L192,0)</f>
        <v>0</v>
      </c>
      <c r="M194" s="11">
        <f t="shared" ref="M194:X194" si="55">MIN(M195-M192,0)</f>
        <v>0</v>
      </c>
      <c r="N194" s="11">
        <f t="shared" si="55"/>
        <v>0</v>
      </c>
      <c r="O194" s="11">
        <f t="shared" si="55"/>
        <v>0</v>
      </c>
      <c r="P194" s="11">
        <f t="shared" si="55"/>
        <v>0</v>
      </c>
      <c r="Q194" s="11">
        <f t="shared" si="55"/>
        <v>0</v>
      </c>
      <c r="R194" s="11">
        <f t="shared" si="55"/>
        <v>0</v>
      </c>
      <c r="S194" s="11">
        <f t="shared" si="55"/>
        <v>0</v>
      </c>
      <c r="T194" s="11">
        <f t="shared" si="55"/>
        <v>0</v>
      </c>
      <c r="U194" s="11">
        <f t="shared" si="55"/>
        <v>0</v>
      </c>
      <c r="V194" s="11">
        <f t="shared" si="55"/>
        <v>0</v>
      </c>
      <c r="W194" s="11">
        <f t="shared" si="55"/>
        <v>0</v>
      </c>
      <c r="X194" s="11">
        <f t="shared" si="55"/>
        <v>0</v>
      </c>
    </row>
    <row r="195" spans="4:24" hidden="1" outlineLevel="1">
      <c r="D195" s="27" t="s">
        <v>128</v>
      </c>
      <c r="L195" s="50">
        <v>40</v>
      </c>
      <c r="M195" s="50">
        <v>40</v>
      </c>
      <c r="N195" s="50">
        <v>40</v>
      </c>
      <c r="O195" s="50">
        <v>40</v>
      </c>
      <c r="P195" s="50">
        <v>40</v>
      </c>
      <c r="Q195" s="50">
        <v>40</v>
      </c>
      <c r="R195" s="50">
        <v>40</v>
      </c>
      <c r="S195" s="50">
        <v>40</v>
      </c>
      <c r="T195" s="50">
        <v>40</v>
      </c>
      <c r="U195" s="50">
        <v>40</v>
      </c>
      <c r="V195" s="50">
        <v>40</v>
      </c>
      <c r="W195" s="50">
        <v>40</v>
      </c>
      <c r="X195" s="50">
        <v>40</v>
      </c>
    </row>
    <row r="196" spans="4:24" hidden="1" outlineLevel="1"/>
    <row r="197" spans="4:24" hidden="1" outlineLevel="1">
      <c r="D197" s="27" t="s">
        <v>129</v>
      </c>
      <c r="L197" s="11">
        <f ca="1">Stmnts!L81</f>
        <v>14.833750000000009</v>
      </c>
      <c r="M197" s="11">
        <f ca="1">Stmnts!M81</f>
        <v>13.888750000000014</v>
      </c>
      <c r="N197" s="11">
        <f ca="1">Stmnts!N81</f>
        <v>11.147593750000015</v>
      </c>
      <c r="O197" s="11">
        <f ca="1">Stmnts!O81</f>
        <v>9.5800585937500333</v>
      </c>
      <c r="P197" s="11">
        <f ca="1">Stmnts!P81</f>
        <v>21.005564618593802</v>
      </c>
      <c r="Q197" s="11">
        <f ca="1">Stmnts!Q81</f>
        <v>24.592227195058648</v>
      </c>
      <c r="R197" s="11">
        <f ca="1">Stmnts!R81</f>
        <v>28.912186916395108</v>
      </c>
      <c r="S197" s="11">
        <f ca="1">Stmnts!S81</f>
        <v>47.896969455507516</v>
      </c>
      <c r="T197" s="11">
        <f ca="1">Stmnts!T81</f>
        <v>52.004128090885843</v>
      </c>
      <c r="U197" s="11">
        <f ca="1">Stmnts!U81</f>
        <v>53.923921909327348</v>
      </c>
      <c r="V197" s="11">
        <f ca="1">Stmnts!V81</f>
        <v>70.552282973509506</v>
      </c>
      <c r="W197" s="11">
        <f ca="1">Stmnts!W81</f>
        <v>89.513826049129534</v>
      </c>
      <c r="X197" s="11">
        <f ca="1">Stmnts!X81</f>
        <v>90.416154821866513</v>
      </c>
    </row>
    <row r="198" spans="4:24" hidden="1" outlineLevel="1">
      <c r="D198" s="27" t="s">
        <v>130</v>
      </c>
      <c r="L198" s="13">
        <v>0.05</v>
      </c>
      <c r="M198" s="13">
        <v>0.05</v>
      </c>
      <c r="N198" s="13">
        <v>0.05</v>
      </c>
      <c r="O198" s="13">
        <v>0.05</v>
      </c>
      <c r="P198" s="13">
        <v>0.05</v>
      </c>
      <c r="Q198" s="13">
        <v>0.05</v>
      </c>
      <c r="R198" s="13">
        <v>0.05</v>
      </c>
      <c r="S198" s="13">
        <v>0.05</v>
      </c>
      <c r="T198" s="13">
        <v>0.05</v>
      </c>
      <c r="U198" s="13">
        <v>0.05</v>
      </c>
      <c r="V198" s="13">
        <v>0.05</v>
      </c>
      <c r="W198" s="13">
        <v>0.05</v>
      </c>
      <c r="X198" s="13">
        <v>0.05</v>
      </c>
    </row>
    <row r="199" spans="4:24" hidden="1" outlineLevel="1"/>
    <row r="200" spans="4:24" hidden="1" outlineLevel="1">
      <c r="D200" s="27" t="s">
        <v>131</v>
      </c>
      <c r="L200" s="12">
        <v>1.5</v>
      </c>
      <c r="M200" s="11">
        <f ca="1">L203</f>
        <v>0</v>
      </c>
      <c r="N200" s="11">
        <f t="shared" ref="N200:X200" ca="1" si="56">M203</f>
        <v>0</v>
      </c>
      <c r="O200" s="11">
        <f t="shared" ca="1" si="56"/>
        <v>0</v>
      </c>
      <c r="P200" s="11">
        <f t="shared" ca="1" si="56"/>
        <v>0</v>
      </c>
      <c r="Q200" s="11">
        <f t="shared" ca="1" si="56"/>
        <v>0</v>
      </c>
      <c r="R200" s="11" t="e">
        <f t="shared" ca="1" si="56"/>
        <v>#VALUE!</v>
      </c>
      <c r="S200" s="11" t="e">
        <f t="shared" ca="1" si="56"/>
        <v>#VALUE!</v>
      </c>
      <c r="T200" s="11" t="e">
        <f t="shared" ca="1" si="56"/>
        <v>#VALUE!</v>
      </c>
      <c r="U200" s="11" t="e">
        <f t="shared" ca="1" si="56"/>
        <v>#VALUE!</v>
      </c>
      <c r="V200" s="11" t="e">
        <f t="shared" ca="1" si="56"/>
        <v>#VALUE!</v>
      </c>
      <c r="W200" s="11" t="e">
        <f t="shared" ca="1" si="56"/>
        <v>#VALUE!</v>
      </c>
      <c r="X200" s="11" t="e">
        <f t="shared" ca="1" si="56"/>
        <v>#VALUE!</v>
      </c>
    </row>
    <row r="201" spans="4:24" hidden="1" outlineLevel="1">
      <c r="D201" s="27" t="s">
        <v>132</v>
      </c>
      <c r="L201" s="11">
        <f ca="1">L215</f>
        <v>8.251687500000001</v>
      </c>
      <c r="M201" s="11">
        <f t="shared" ref="M201:X201" ca="1" si="57">M215</f>
        <v>8.5335406250000005</v>
      </c>
      <c r="N201" s="11">
        <f t="shared" ca="1" si="57"/>
        <v>8.6642432812500019</v>
      </c>
      <c r="O201" s="11">
        <f t="shared" ca="1" si="57"/>
        <v>8.7100340468750037</v>
      </c>
      <c r="P201" s="11">
        <f t="shared" ca="1" si="57"/>
        <v>9.3248105754609441</v>
      </c>
      <c r="Q201" s="11" t="e">
        <f t="shared" ca="1" si="57"/>
        <v>#VALUE!</v>
      </c>
      <c r="R201" s="11" t="e">
        <f t="shared" ca="1" si="57"/>
        <v>#VALUE!</v>
      </c>
      <c r="S201" s="11" t="e">
        <f t="shared" ca="1" si="57"/>
        <v>#VALUE!</v>
      </c>
      <c r="T201" s="11" t="e">
        <f t="shared" ca="1" si="57"/>
        <v>#VALUE!</v>
      </c>
      <c r="U201" s="11" t="e">
        <f t="shared" ca="1" si="57"/>
        <v>#VALUE!</v>
      </c>
      <c r="V201" s="11" t="e">
        <f t="shared" ca="1" si="57"/>
        <v>#VALUE!</v>
      </c>
      <c r="W201" s="11" t="e">
        <f t="shared" ca="1" si="57"/>
        <v>#VALUE!</v>
      </c>
      <c r="X201" s="11" t="e">
        <f t="shared" ca="1" si="57"/>
        <v>#VALUE!</v>
      </c>
    </row>
    <row r="202" spans="4:24" hidden="1" outlineLevel="1">
      <c r="D202" s="27" t="s">
        <v>133</v>
      </c>
      <c r="L202" s="12">
        <f ca="1">-SUM(L200:L201)</f>
        <v>-9.751687500000001</v>
      </c>
      <c r="M202" s="12">
        <f t="shared" ref="M202:X202" ca="1" si="58">-SUM(M200:M201)</f>
        <v>-8.5335406250000005</v>
      </c>
      <c r="N202" s="12">
        <f t="shared" ca="1" si="58"/>
        <v>-8.6642432812500019</v>
      </c>
      <c r="O202" s="12">
        <f t="shared" ca="1" si="58"/>
        <v>-8.7100340468750037</v>
      </c>
      <c r="P202" s="12">
        <f t="shared" ca="1" si="58"/>
        <v>-9.3248105754609441</v>
      </c>
      <c r="Q202" s="12" t="e">
        <f t="shared" ca="1" si="58"/>
        <v>#VALUE!</v>
      </c>
      <c r="R202" s="12" t="e">
        <f t="shared" ca="1" si="58"/>
        <v>#VALUE!</v>
      </c>
      <c r="S202" s="12" t="e">
        <f t="shared" ca="1" si="58"/>
        <v>#VALUE!</v>
      </c>
      <c r="T202" s="12" t="e">
        <f t="shared" ca="1" si="58"/>
        <v>#VALUE!</v>
      </c>
      <c r="U202" s="12" t="e">
        <f t="shared" ca="1" si="58"/>
        <v>#VALUE!</v>
      </c>
      <c r="V202" s="12" t="e">
        <f t="shared" ca="1" si="58"/>
        <v>#VALUE!</v>
      </c>
      <c r="W202" s="12" t="e">
        <f t="shared" ca="1" si="58"/>
        <v>#VALUE!</v>
      </c>
      <c r="X202" s="12" t="e">
        <f t="shared" ca="1" si="58"/>
        <v>#VALUE!</v>
      </c>
    </row>
    <row r="203" spans="4:24" hidden="1" outlineLevel="1">
      <c r="D203" s="27" t="s">
        <v>134</v>
      </c>
      <c r="L203" s="18">
        <f ca="1">SUM(L200:L202)</f>
        <v>0</v>
      </c>
      <c r="M203" s="18">
        <f t="shared" ref="M203:X203" ca="1" si="59">SUM(M200:M202)</f>
        <v>0</v>
      </c>
      <c r="N203" s="18">
        <f t="shared" ca="1" si="59"/>
        <v>0</v>
      </c>
      <c r="O203" s="18">
        <f t="shared" ca="1" si="59"/>
        <v>0</v>
      </c>
      <c r="P203" s="18">
        <f t="shared" ca="1" si="59"/>
        <v>0</v>
      </c>
      <c r="Q203" s="18" t="e">
        <f t="shared" ca="1" si="59"/>
        <v>#VALUE!</v>
      </c>
      <c r="R203" s="18" t="e">
        <f t="shared" ca="1" si="59"/>
        <v>#VALUE!</v>
      </c>
      <c r="S203" s="18" t="e">
        <f t="shared" ca="1" si="59"/>
        <v>#VALUE!</v>
      </c>
      <c r="T203" s="18" t="e">
        <f t="shared" ca="1" si="59"/>
        <v>#VALUE!</v>
      </c>
      <c r="U203" s="18" t="e">
        <f t="shared" ca="1" si="59"/>
        <v>#VALUE!</v>
      </c>
      <c r="V203" s="18" t="e">
        <f t="shared" ca="1" si="59"/>
        <v>#VALUE!</v>
      </c>
      <c r="W203" s="18" t="e">
        <f t="shared" ca="1" si="59"/>
        <v>#VALUE!</v>
      </c>
      <c r="X203" s="18" t="e">
        <f t="shared" ca="1" si="59"/>
        <v>#VALUE!</v>
      </c>
    </row>
    <row r="204" spans="4:24" hidden="1" outlineLevel="1"/>
    <row r="205" spans="4:24" hidden="1" outlineLevel="1">
      <c r="D205" s="28" t="str">
        <f>Stmnts!D147</f>
        <v>Opening Retained Profits</v>
      </c>
      <c r="L205" s="11">
        <f>Stmnts!L147</f>
        <v>150.19999999999999</v>
      </c>
      <c r="M205" s="11">
        <f ca="1">Stmnts!M147</f>
        <v>156.78206249999999</v>
      </c>
      <c r="N205" s="11">
        <f ca="1">Stmnts!N147</f>
        <v>162.13727187500001</v>
      </c>
      <c r="O205" s="11">
        <f ca="1">Stmnts!O147</f>
        <v>164.62062234375003</v>
      </c>
      <c r="P205" s="11">
        <f ca="1">Stmnts!P147</f>
        <v>165.49064689062507</v>
      </c>
      <c r="Q205" s="11">
        <f ca="1">Stmnts!Q147</f>
        <v>177.17140093375792</v>
      </c>
      <c r="R205" s="11" t="e">
        <f ca="1">Stmnts!R147</f>
        <v>#VALUE!</v>
      </c>
      <c r="S205" s="11" t="e">
        <f ca="1">Stmnts!S147</f>
        <v>#VALUE!</v>
      </c>
      <c r="T205" s="11" t="e">
        <f ca="1">Stmnts!T147</f>
        <v>#VALUE!</v>
      </c>
      <c r="U205" s="11" t="e">
        <f ca="1">Stmnts!U147</f>
        <v>#VALUE!</v>
      </c>
      <c r="V205" s="11" t="e">
        <f ca="1">Stmnts!V147</f>
        <v>#VALUE!</v>
      </c>
      <c r="W205" s="11" t="e">
        <f ca="1">Stmnts!W147</f>
        <v>#VALUE!</v>
      </c>
      <c r="X205" s="11" t="e">
        <f ca="1">Stmnts!X147</f>
        <v>#VALUE!</v>
      </c>
    </row>
    <row r="206" spans="4:24" hidden="1" outlineLevel="1">
      <c r="D206" s="28" t="str">
        <f>Stmnts!C81</f>
        <v>NPAT</v>
      </c>
      <c r="L206" s="11">
        <f ca="1">Stmnts!L81</f>
        <v>14.833750000000009</v>
      </c>
      <c r="M206" s="11">
        <f ca="1">Stmnts!M81</f>
        <v>13.888750000000014</v>
      </c>
      <c r="N206" s="11">
        <f ca="1">Stmnts!N81</f>
        <v>11.147593750000015</v>
      </c>
      <c r="O206" s="11">
        <f ca="1">Stmnts!O81</f>
        <v>9.5800585937500333</v>
      </c>
      <c r="P206" s="11">
        <f ca="1">Stmnts!P81</f>
        <v>21.005564618593802</v>
      </c>
      <c r="Q206" s="11">
        <f ca="1">Stmnts!Q81</f>
        <v>24.592227195058648</v>
      </c>
      <c r="R206" s="11">
        <f ca="1">Stmnts!R81</f>
        <v>28.912186916395108</v>
      </c>
      <c r="S206" s="11">
        <f ca="1">Stmnts!S81</f>
        <v>47.896969455507516</v>
      </c>
      <c r="T206" s="11">
        <f ca="1">Stmnts!T81</f>
        <v>52.004128090885843</v>
      </c>
      <c r="U206" s="11">
        <f ca="1">Stmnts!U81</f>
        <v>53.923921909327348</v>
      </c>
      <c r="V206" s="11">
        <f ca="1">Stmnts!V81</f>
        <v>70.552282973509506</v>
      </c>
      <c r="W206" s="11">
        <f ca="1">Stmnts!W81</f>
        <v>89.513826049129534</v>
      </c>
      <c r="X206" s="11">
        <f ca="1">Stmnts!X81</f>
        <v>90.416154821866513</v>
      </c>
    </row>
    <row r="207" spans="4:24" hidden="1" outlineLevel="1">
      <c r="D207" s="25" t="s">
        <v>135</v>
      </c>
      <c r="L207" s="61">
        <f ca="1">SUM(L205:L206)</f>
        <v>165.03375</v>
      </c>
      <c r="M207" s="61">
        <f t="shared" ref="M207:X207" ca="1" si="60">SUM(M205:M206)</f>
        <v>170.67081250000001</v>
      </c>
      <c r="N207" s="61">
        <f t="shared" ca="1" si="60"/>
        <v>173.28486562500004</v>
      </c>
      <c r="O207" s="61">
        <f t="shared" ca="1" si="60"/>
        <v>174.20068093750007</v>
      </c>
      <c r="P207" s="61">
        <f t="shared" ca="1" si="60"/>
        <v>186.49621150921888</v>
      </c>
      <c r="Q207" s="61">
        <f t="shared" ca="1" si="60"/>
        <v>201.76362812881658</v>
      </c>
      <c r="R207" s="61" t="e">
        <f t="shared" ca="1" si="60"/>
        <v>#VALUE!</v>
      </c>
      <c r="S207" s="61" t="e">
        <f t="shared" ca="1" si="60"/>
        <v>#VALUE!</v>
      </c>
      <c r="T207" s="61" t="e">
        <f t="shared" ca="1" si="60"/>
        <v>#VALUE!</v>
      </c>
      <c r="U207" s="61" t="e">
        <f t="shared" ca="1" si="60"/>
        <v>#VALUE!</v>
      </c>
      <c r="V207" s="61" t="e">
        <f t="shared" ca="1" si="60"/>
        <v>#VALUE!</v>
      </c>
      <c r="W207" s="61" t="e">
        <f t="shared" ca="1" si="60"/>
        <v>#VALUE!</v>
      </c>
      <c r="X207" s="61" t="e">
        <f t="shared" ca="1" si="60"/>
        <v>#VALUE!</v>
      </c>
    </row>
    <row r="208" spans="4:24" hidden="1" outlineLevel="1"/>
    <row r="209" spans="3:24" hidden="1" outlineLevel="1">
      <c r="D209" s="28" t="str">
        <f>Stmnts!D87</f>
        <v>Opening Cash Balance</v>
      </c>
      <c r="L209" s="11">
        <f>Stmnts!L87</f>
        <v>65</v>
      </c>
      <c r="M209" s="11">
        <f ca="1">Stmnts!M87</f>
        <v>176.20122345890411</v>
      </c>
      <c r="N209" s="11">
        <f ca="1">Stmnts!N87</f>
        <v>188.44663831335617</v>
      </c>
      <c r="O209" s="11">
        <f ca="1">Stmnts!O87</f>
        <v>195.42748492936647</v>
      </c>
      <c r="P209" s="11">
        <f ca="1">Stmnts!P87</f>
        <v>201.24417116060457</v>
      </c>
      <c r="Q209" s="11">
        <f ca="1">Stmnts!Q87</f>
        <v>224.88570322503148</v>
      </c>
      <c r="R209" s="11" t="e">
        <f ca="1">Stmnts!R87</f>
        <v>#VALUE!</v>
      </c>
      <c r="S209" s="11" t="e">
        <f ca="1">Stmnts!S87</f>
        <v>#VALUE!</v>
      </c>
      <c r="T209" s="11" t="e">
        <f ca="1">Stmnts!T87</f>
        <v>#VALUE!</v>
      </c>
      <c r="U209" s="11" t="e">
        <f ca="1">Stmnts!U87</f>
        <v>#VALUE!</v>
      </c>
      <c r="V209" s="11" t="e">
        <f ca="1">Stmnts!V87</f>
        <v>#VALUE!</v>
      </c>
      <c r="W209" s="11" t="e">
        <f ca="1">Stmnts!W87</f>
        <v>#VALUE!</v>
      </c>
      <c r="X209" s="11" t="e">
        <f ca="1">Stmnts!X87</f>
        <v>#VALUE!</v>
      </c>
    </row>
    <row r="210" spans="3:24" hidden="1" outlineLevel="1">
      <c r="D210" s="28" t="str">
        <f>D227</f>
        <v>Cash Flow Available for Dividends</v>
      </c>
      <c r="L210" s="11">
        <f t="shared" ref="L210:X210" si="61">L227</f>
        <v>120.95291095890413</v>
      </c>
      <c r="M210" s="11">
        <f t="shared" ca="1" si="61"/>
        <v>20.778955479452065</v>
      </c>
      <c r="N210" s="11">
        <f t="shared" ca="1" si="61"/>
        <v>15.645089897260291</v>
      </c>
      <c r="O210" s="11">
        <f t="shared" ca="1" si="61"/>
        <v>14.526720278113103</v>
      </c>
      <c r="P210" s="11">
        <f t="shared" ca="1" si="61"/>
        <v>32.966342639887841</v>
      </c>
      <c r="Q210" s="11" t="e">
        <f t="shared" ca="1" si="61"/>
        <v>#VALUE!</v>
      </c>
      <c r="R210" s="11">
        <f t="shared" ca="1" si="61"/>
        <v>38.295571028019197</v>
      </c>
      <c r="S210" s="11">
        <f t="shared" ca="1" si="61"/>
        <v>63.49658257910955</v>
      </c>
      <c r="T210" s="11">
        <f t="shared" ca="1" si="61"/>
        <v>56.634730685029893</v>
      </c>
      <c r="U210" s="11">
        <f t="shared" ca="1" si="61"/>
        <v>60.634148101575668</v>
      </c>
      <c r="V210" s="11">
        <f t="shared" ca="1" si="61"/>
        <v>81.694366604604085</v>
      </c>
      <c r="W210" s="11">
        <f t="shared" ca="1" si="61"/>
        <v>100.69183253819554</v>
      </c>
      <c r="X210" s="11">
        <f t="shared" ca="1" si="61"/>
        <v>94.081044769704164</v>
      </c>
    </row>
    <row r="211" spans="3:24" hidden="1" outlineLevel="1">
      <c r="D211" s="25" t="s">
        <v>136</v>
      </c>
      <c r="L211" s="61">
        <f>SUM(L209:L210)</f>
        <v>185.95291095890411</v>
      </c>
      <c r="M211" s="61">
        <f t="shared" ref="M211:X211" ca="1" si="62">SUM(M209:M210)</f>
        <v>196.98017893835618</v>
      </c>
      <c r="N211" s="61">
        <f t="shared" ca="1" si="62"/>
        <v>204.09172821061645</v>
      </c>
      <c r="O211" s="61">
        <f t="shared" ca="1" si="62"/>
        <v>209.95420520747956</v>
      </c>
      <c r="P211" s="61">
        <f t="shared" ca="1" si="62"/>
        <v>234.21051380049241</v>
      </c>
      <c r="Q211" s="61" t="e">
        <f t="shared" ca="1" si="62"/>
        <v>#VALUE!</v>
      </c>
      <c r="R211" s="61" t="e">
        <f t="shared" ca="1" si="62"/>
        <v>#VALUE!</v>
      </c>
      <c r="S211" s="61" t="e">
        <f t="shared" ca="1" si="62"/>
        <v>#VALUE!</v>
      </c>
      <c r="T211" s="61" t="e">
        <f t="shared" ca="1" si="62"/>
        <v>#VALUE!</v>
      </c>
      <c r="U211" s="61" t="e">
        <f t="shared" ca="1" si="62"/>
        <v>#VALUE!</v>
      </c>
      <c r="V211" s="61" t="e">
        <f t="shared" ca="1" si="62"/>
        <v>#VALUE!</v>
      </c>
      <c r="W211" s="61" t="e">
        <f t="shared" ca="1" si="62"/>
        <v>#VALUE!</v>
      </c>
      <c r="X211" s="61" t="e">
        <f t="shared" ca="1" si="62"/>
        <v>#VALUE!</v>
      </c>
    </row>
    <row r="212" spans="3:24" hidden="1" outlineLevel="1"/>
    <row r="213" spans="3:24" hidden="1" outlineLevel="1">
      <c r="D213" s="28" t="str">
        <f>D198</f>
        <v>Dividend Payout Ratio (% of NPAT)</v>
      </c>
      <c r="L213" s="15">
        <f t="shared" ref="L213:X213" si="63">L198</f>
        <v>0.05</v>
      </c>
      <c r="M213" s="15">
        <f t="shared" si="63"/>
        <v>0.05</v>
      </c>
      <c r="N213" s="15">
        <f t="shared" si="63"/>
        <v>0.05</v>
      </c>
      <c r="O213" s="15">
        <f t="shared" si="63"/>
        <v>0.05</v>
      </c>
      <c r="P213" s="15">
        <f t="shared" si="63"/>
        <v>0.05</v>
      </c>
      <c r="Q213" s="15">
        <f t="shared" si="63"/>
        <v>0.05</v>
      </c>
      <c r="R213" s="15">
        <f t="shared" si="63"/>
        <v>0.05</v>
      </c>
      <c r="S213" s="15">
        <f t="shared" si="63"/>
        <v>0.05</v>
      </c>
      <c r="T213" s="15">
        <f t="shared" si="63"/>
        <v>0.05</v>
      </c>
      <c r="U213" s="15">
        <f t="shared" si="63"/>
        <v>0.05</v>
      </c>
      <c r="V213" s="15">
        <f t="shared" si="63"/>
        <v>0.05</v>
      </c>
      <c r="W213" s="15">
        <f t="shared" si="63"/>
        <v>0.05</v>
      </c>
      <c r="X213" s="15">
        <f t="shared" si="63"/>
        <v>0.05</v>
      </c>
    </row>
    <row r="214" spans="3:24" hidden="1" outlineLevel="1">
      <c r="D214" s="27" t="s">
        <v>137</v>
      </c>
      <c r="L214" s="11">
        <f ca="1">L213*L207</f>
        <v>8.251687500000001</v>
      </c>
      <c r="M214" s="11">
        <f t="shared" ref="M214:X214" ca="1" si="64">M213*M207</f>
        <v>8.5335406250000005</v>
      </c>
      <c r="N214" s="11">
        <f t="shared" ca="1" si="64"/>
        <v>8.6642432812500019</v>
      </c>
      <c r="O214" s="11">
        <f t="shared" ca="1" si="64"/>
        <v>8.7100340468750037</v>
      </c>
      <c r="P214" s="11">
        <f t="shared" ca="1" si="64"/>
        <v>9.3248105754609441</v>
      </c>
      <c r="Q214" s="11">
        <f t="shared" ca="1" si="64"/>
        <v>10.08818140644083</v>
      </c>
      <c r="R214" s="11" t="e">
        <f t="shared" ca="1" si="64"/>
        <v>#VALUE!</v>
      </c>
      <c r="S214" s="11" t="e">
        <f t="shared" ca="1" si="64"/>
        <v>#VALUE!</v>
      </c>
      <c r="T214" s="11" t="e">
        <f t="shared" ca="1" si="64"/>
        <v>#VALUE!</v>
      </c>
      <c r="U214" s="11" t="e">
        <f t="shared" ca="1" si="64"/>
        <v>#VALUE!</v>
      </c>
      <c r="V214" s="11" t="e">
        <f t="shared" ca="1" si="64"/>
        <v>#VALUE!</v>
      </c>
      <c r="W214" s="11" t="e">
        <f t="shared" ca="1" si="64"/>
        <v>#VALUE!</v>
      </c>
      <c r="X214" s="11" t="e">
        <f t="shared" ca="1" si="64"/>
        <v>#VALUE!</v>
      </c>
    </row>
    <row r="215" spans="3:24" hidden="1" outlineLevel="1">
      <c r="D215" s="68" t="s">
        <v>138</v>
      </c>
      <c r="L215" s="61">
        <f ca="1">MAX(0,MIN(L207,L211,L214))</f>
        <v>8.251687500000001</v>
      </c>
      <c r="M215" s="61">
        <f t="shared" ref="M215:X215" ca="1" si="65">MAX(0,MIN(M207,M211,M214))</f>
        <v>8.5335406250000005</v>
      </c>
      <c r="N215" s="61">
        <f t="shared" ca="1" si="65"/>
        <v>8.6642432812500019</v>
      </c>
      <c r="O215" s="61">
        <f t="shared" ca="1" si="65"/>
        <v>8.7100340468750037</v>
      </c>
      <c r="P215" s="61">
        <f t="shared" ca="1" si="65"/>
        <v>9.3248105754609441</v>
      </c>
      <c r="Q215" s="61" t="e">
        <f t="shared" ca="1" si="65"/>
        <v>#VALUE!</v>
      </c>
      <c r="R215" s="61" t="e">
        <f t="shared" ca="1" si="65"/>
        <v>#VALUE!</v>
      </c>
      <c r="S215" s="61" t="e">
        <f t="shared" ca="1" si="65"/>
        <v>#VALUE!</v>
      </c>
      <c r="T215" s="61" t="e">
        <f t="shared" ca="1" si="65"/>
        <v>#VALUE!</v>
      </c>
      <c r="U215" s="61" t="e">
        <f t="shared" ca="1" si="65"/>
        <v>#VALUE!</v>
      </c>
      <c r="V215" s="61" t="e">
        <f t="shared" ca="1" si="65"/>
        <v>#VALUE!</v>
      </c>
      <c r="W215" s="61" t="e">
        <f t="shared" ca="1" si="65"/>
        <v>#VALUE!</v>
      </c>
      <c r="X215" s="61" t="e">
        <f t="shared" ca="1" si="65"/>
        <v>#VALUE!</v>
      </c>
    </row>
    <row r="216" spans="3:24" hidden="1" outlineLevel="1"/>
    <row r="217" spans="3:24" hidden="1" outlineLevel="1">
      <c r="D217" s="28" t="str">
        <f>Stmnts!D216</f>
        <v>Net Operating Cash Flow</v>
      </c>
      <c r="L217" s="11">
        <f>Stmnts!L216</f>
        <v>120.95291095890413</v>
      </c>
      <c r="M217" s="11">
        <f ca="1">Stmnts!M216</f>
        <v>20.778955479452065</v>
      </c>
      <c r="N217" s="11">
        <f ca="1">Stmnts!N216</f>
        <v>15.645089897260291</v>
      </c>
      <c r="O217" s="11">
        <f ca="1">Stmnts!O216</f>
        <v>14.526720278113103</v>
      </c>
      <c r="P217" s="11">
        <f ca="1">Stmnts!P216</f>
        <v>32.966342639887841</v>
      </c>
      <c r="Q217" s="11" t="e">
        <f ca="1">Stmnts!Q216</f>
        <v>#VALUE!</v>
      </c>
      <c r="R217" s="11">
        <f ca="1">Stmnts!R216</f>
        <v>38.295571028019197</v>
      </c>
      <c r="S217" s="11">
        <f ca="1">Stmnts!S216</f>
        <v>63.496582579109543</v>
      </c>
      <c r="T217" s="11">
        <f ca="1">Stmnts!T216</f>
        <v>56.634730685029893</v>
      </c>
      <c r="U217" s="11">
        <f ca="1">Stmnts!U216</f>
        <v>60.634148101575676</v>
      </c>
      <c r="V217" s="11">
        <f ca="1">Stmnts!V216</f>
        <v>81.694366604604085</v>
      </c>
      <c r="W217" s="11">
        <f ca="1">Stmnts!W216</f>
        <v>100.69183253819554</v>
      </c>
      <c r="X217" s="11">
        <f ca="1">Stmnts!X216</f>
        <v>94.081044769704164</v>
      </c>
    </row>
    <row r="218" spans="3:24" hidden="1" outlineLevel="1">
      <c r="D218" s="28" t="str">
        <f>Stmnts!D223</f>
        <v>Net Investing Cash Flow</v>
      </c>
      <c r="L218" s="11">
        <f>Stmnts!L223</f>
        <v>-25</v>
      </c>
      <c r="M218" s="11">
        <f>Stmnts!M223</f>
        <v>0</v>
      </c>
      <c r="N218" s="11">
        <f>Stmnts!N223</f>
        <v>0</v>
      </c>
      <c r="O218" s="11">
        <f>Stmnts!O223</f>
        <v>0</v>
      </c>
      <c r="P218" s="11">
        <f>Stmnts!P223</f>
        <v>-30</v>
      </c>
      <c r="Q218" s="11">
        <f>Stmnts!Q223</f>
        <v>0</v>
      </c>
      <c r="R218" s="11">
        <f>Stmnts!R223</f>
        <v>0</v>
      </c>
      <c r="S218" s="11">
        <f>Stmnts!S223</f>
        <v>0</v>
      </c>
      <c r="T218" s="11">
        <f>Stmnts!T223</f>
        <v>-35</v>
      </c>
      <c r="U218" s="11">
        <f>Stmnts!U223</f>
        <v>0</v>
      </c>
      <c r="V218" s="11">
        <f>Stmnts!V223</f>
        <v>0</v>
      </c>
      <c r="W218" s="11">
        <f>Stmnts!W223</f>
        <v>0</v>
      </c>
      <c r="X218" s="11">
        <f>Stmnts!X223</f>
        <v>0</v>
      </c>
    </row>
    <row r="219" spans="3:24" hidden="1" outlineLevel="1">
      <c r="C219" s="80" t="s">
        <v>139</v>
      </c>
      <c r="D219" s="27" t="s">
        <v>140</v>
      </c>
      <c r="L219" s="11">
        <f>-Stmnts!L210</f>
        <v>1.2375</v>
      </c>
      <c r="M219" s="11">
        <f>-Stmnts!M210</f>
        <v>1.7999999999999998</v>
      </c>
      <c r="N219" s="11">
        <f>-Stmnts!N210</f>
        <v>1.7999999999999998</v>
      </c>
      <c r="O219" s="11">
        <f>-Stmnts!O210</f>
        <v>1.7999999999999998</v>
      </c>
      <c r="P219" s="11">
        <f>-Stmnts!P210</f>
        <v>2.4750000000000001</v>
      </c>
      <c r="Q219" s="11">
        <f>-Stmnts!Q210</f>
        <v>3.15</v>
      </c>
      <c r="R219" s="11">
        <f>-Stmnts!R210</f>
        <v>3.15</v>
      </c>
      <c r="S219" s="11">
        <f>-Stmnts!S210</f>
        <v>3.15</v>
      </c>
      <c r="T219" s="11">
        <f>-Stmnts!T210</f>
        <v>3.9375</v>
      </c>
      <c r="U219" s="11">
        <f>-Stmnts!U210</f>
        <v>4.7249999999999996</v>
      </c>
      <c r="V219" s="11">
        <f>-Stmnts!V210</f>
        <v>4.7249999999999996</v>
      </c>
      <c r="W219" s="11">
        <f>-Stmnts!W210</f>
        <v>4.7249999999999996</v>
      </c>
      <c r="X219" s="11">
        <f>-Stmnts!X210</f>
        <v>4.7249999999999996</v>
      </c>
    </row>
    <row r="220" spans="3:24" hidden="1" outlineLevel="1">
      <c r="D220" s="75" t="s">
        <v>141</v>
      </c>
      <c r="E220" s="76"/>
      <c r="F220" s="76"/>
      <c r="G220" s="76"/>
      <c r="H220" s="76"/>
      <c r="I220" s="76"/>
      <c r="J220" s="76"/>
      <c r="K220" s="76"/>
      <c r="L220" s="61">
        <f>SUM(L217:L219)</f>
        <v>97.190410958904124</v>
      </c>
      <c r="M220" s="61">
        <f t="shared" ref="M220:X220" ca="1" si="66">SUM(M217:M219)</f>
        <v>22.578955479452066</v>
      </c>
      <c r="N220" s="61">
        <f t="shared" ca="1" si="66"/>
        <v>17.445089897260292</v>
      </c>
      <c r="O220" s="61">
        <f t="shared" ca="1" si="66"/>
        <v>16.326720278113104</v>
      </c>
      <c r="P220" s="61">
        <f t="shared" ca="1" si="66"/>
        <v>5.4413426398878411</v>
      </c>
      <c r="Q220" s="61" t="e">
        <f t="shared" ca="1" si="66"/>
        <v>#VALUE!</v>
      </c>
      <c r="R220" s="61">
        <f t="shared" ca="1" si="66"/>
        <v>41.445571028019195</v>
      </c>
      <c r="S220" s="61">
        <f t="shared" ca="1" si="66"/>
        <v>66.646582579109548</v>
      </c>
      <c r="T220" s="61">
        <f t="shared" ca="1" si="66"/>
        <v>25.572230685029893</v>
      </c>
      <c r="U220" s="61">
        <f t="shared" ca="1" si="66"/>
        <v>65.35914810157567</v>
      </c>
      <c r="V220" s="61">
        <f t="shared" ca="1" si="66"/>
        <v>86.419366604604079</v>
      </c>
      <c r="W220" s="61">
        <f t="shared" ca="1" si="66"/>
        <v>105.41683253819554</v>
      </c>
      <c r="X220" s="61">
        <f t="shared" ca="1" si="66"/>
        <v>98.806044769704158</v>
      </c>
    </row>
    <row r="221" spans="3:24" hidden="1" outlineLevel="1">
      <c r="C221" s="80" t="s">
        <v>142</v>
      </c>
      <c r="D221" s="27" t="s">
        <v>140</v>
      </c>
      <c r="L221" s="11">
        <f t="shared" ref="L221:X221" si="67">-L219</f>
        <v>-1.2375</v>
      </c>
      <c r="M221" s="11">
        <f t="shared" si="67"/>
        <v>-1.7999999999999998</v>
      </c>
      <c r="N221" s="11">
        <f t="shared" si="67"/>
        <v>-1.7999999999999998</v>
      </c>
      <c r="O221" s="11">
        <f t="shared" si="67"/>
        <v>-1.7999999999999998</v>
      </c>
      <c r="P221" s="11">
        <f t="shared" si="67"/>
        <v>-2.4750000000000001</v>
      </c>
      <c r="Q221" s="11">
        <f t="shared" si="67"/>
        <v>-3.15</v>
      </c>
      <c r="R221" s="11">
        <f t="shared" si="67"/>
        <v>-3.15</v>
      </c>
      <c r="S221" s="11">
        <f t="shared" si="67"/>
        <v>-3.15</v>
      </c>
      <c r="T221" s="11">
        <f t="shared" si="67"/>
        <v>-3.9375</v>
      </c>
      <c r="U221" s="11">
        <f t="shared" si="67"/>
        <v>-4.7249999999999996</v>
      </c>
      <c r="V221" s="11">
        <f t="shared" si="67"/>
        <v>-4.7249999999999996</v>
      </c>
      <c r="W221" s="11">
        <f t="shared" si="67"/>
        <v>-4.7249999999999996</v>
      </c>
      <c r="X221" s="11">
        <f t="shared" si="67"/>
        <v>-4.7249999999999996</v>
      </c>
    </row>
    <row r="222" spans="3:24" hidden="1" outlineLevel="1">
      <c r="D222" s="28" t="str">
        <f>Stmnts!D228</f>
        <v>Total Debt Drawdowns</v>
      </c>
      <c r="L222" s="11">
        <f>Stmnts!L228</f>
        <v>25</v>
      </c>
      <c r="M222" s="11">
        <f>Stmnts!M228</f>
        <v>0</v>
      </c>
      <c r="N222" s="11">
        <f>Stmnts!N228</f>
        <v>0</v>
      </c>
      <c r="O222" s="11">
        <f>Stmnts!O228</f>
        <v>0</v>
      </c>
      <c r="P222" s="11">
        <f>Stmnts!P228</f>
        <v>30</v>
      </c>
      <c r="Q222" s="11">
        <f>Stmnts!Q228</f>
        <v>0</v>
      </c>
      <c r="R222" s="11">
        <f>Stmnts!R228</f>
        <v>0</v>
      </c>
      <c r="S222" s="11">
        <f>Stmnts!S228</f>
        <v>0</v>
      </c>
      <c r="T222" s="11">
        <f>Stmnts!T228</f>
        <v>35</v>
      </c>
      <c r="U222" s="11">
        <f>Stmnts!U228</f>
        <v>0</v>
      </c>
      <c r="V222" s="11">
        <f>Stmnts!V228</f>
        <v>0</v>
      </c>
      <c r="W222" s="11">
        <f>Stmnts!W228</f>
        <v>0</v>
      </c>
      <c r="X222" s="11">
        <f>Stmnts!X228</f>
        <v>0</v>
      </c>
    </row>
    <row r="223" spans="3:24" hidden="1" outlineLevel="1">
      <c r="D223" s="28" t="str">
        <f>Stmnts!D231</f>
        <v>Total Debt Repayments</v>
      </c>
      <c r="L223" s="11">
        <f>Stmnts!L231</f>
        <v>0</v>
      </c>
      <c r="M223" s="11">
        <f>Stmnts!M231</f>
        <v>0</v>
      </c>
      <c r="N223" s="11">
        <f>Stmnts!N231</f>
        <v>0</v>
      </c>
      <c r="O223" s="11">
        <f>Stmnts!O231</f>
        <v>0</v>
      </c>
      <c r="P223" s="11">
        <f>Stmnts!P231</f>
        <v>0</v>
      </c>
      <c r="Q223" s="11">
        <f>Stmnts!Q231</f>
        <v>0</v>
      </c>
      <c r="R223" s="11">
        <f>Stmnts!R231</f>
        <v>0</v>
      </c>
      <c r="S223" s="11">
        <f>Stmnts!S231</f>
        <v>0</v>
      </c>
      <c r="T223" s="11">
        <f>Stmnts!T231</f>
        <v>0</v>
      </c>
      <c r="U223" s="11">
        <f>Stmnts!U231</f>
        <v>0</v>
      </c>
      <c r="V223" s="11">
        <f>Stmnts!V231</f>
        <v>0</v>
      </c>
      <c r="W223" s="11">
        <f>Stmnts!W231</f>
        <v>0</v>
      </c>
      <c r="X223" s="11">
        <f>Stmnts!X231</f>
        <v>0</v>
      </c>
    </row>
    <row r="224" spans="3:24" hidden="1" outlineLevel="1">
      <c r="D224" s="75" t="s">
        <v>143</v>
      </c>
      <c r="E224" s="76"/>
      <c r="F224" s="76"/>
      <c r="G224" s="76"/>
      <c r="H224" s="76"/>
      <c r="I224" s="76"/>
      <c r="J224" s="76"/>
      <c r="K224" s="76"/>
      <c r="L224" s="61">
        <f>SUM(L220:L223)</f>
        <v>120.95291095890413</v>
      </c>
      <c r="M224" s="61">
        <f t="shared" ref="M224:X224" ca="1" si="68">SUM(M220:M223)</f>
        <v>20.778955479452065</v>
      </c>
      <c r="N224" s="61">
        <f t="shared" ca="1" si="68"/>
        <v>15.645089897260291</v>
      </c>
      <c r="O224" s="61">
        <f t="shared" ca="1" si="68"/>
        <v>14.526720278113103</v>
      </c>
      <c r="P224" s="61">
        <f t="shared" ca="1" si="68"/>
        <v>32.966342639887841</v>
      </c>
      <c r="Q224" s="61" t="e">
        <f t="shared" ca="1" si="68"/>
        <v>#VALUE!</v>
      </c>
      <c r="R224" s="61">
        <f t="shared" ca="1" si="68"/>
        <v>38.295571028019197</v>
      </c>
      <c r="S224" s="61">
        <f t="shared" ca="1" si="68"/>
        <v>63.49658257910955</v>
      </c>
      <c r="T224" s="61">
        <f t="shared" ca="1" si="68"/>
        <v>56.634730685029893</v>
      </c>
      <c r="U224" s="61">
        <f t="shared" ca="1" si="68"/>
        <v>60.634148101575668</v>
      </c>
      <c r="V224" s="61">
        <f t="shared" ca="1" si="68"/>
        <v>81.694366604604085</v>
      </c>
      <c r="W224" s="61">
        <f t="shared" ca="1" si="68"/>
        <v>100.69183253819554</v>
      </c>
      <c r="X224" s="61">
        <f t="shared" ca="1" si="68"/>
        <v>94.081044769704164</v>
      </c>
    </row>
    <row r="225" spans="2:24" hidden="1" outlineLevel="1">
      <c r="D225" s="28" t="str">
        <f>Stmnts!D233</f>
        <v>Ordinary Equity Raisings</v>
      </c>
      <c r="L225" s="11">
        <f>Stmnts!L233</f>
        <v>0</v>
      </c>
      <c r="M225" s="11">
        <f>Stmnts!M233</f>
        <v>0</v>
      </c>
      <c r="N225" s="11">
        <f>Stmnts!N233</f>
        <v>0</v>
      </c>
      <c r="O225" s="11">
        <f>Stmnts!O233</f>
        <v>0</v>
      </c>
      <c r="P225" s="11">
        <f>Stmnts!P233</f>
        <v>0</v>
      </c>
      <c r="Q225" s="11">
        <f>Stmnts!Q233</f>
        <v>0</v>
      </c>
      <c r="R225" s="11">
        <f>Stmnts!R233</f>
        <v>0</v>
      </c>
      <c r="S225" s="11">
        <f>Stmnts!S233</f>
        <v>0</v>
      </c>
      <c r="T225" s="11">
        <f>Stmnts!T233</f>
        <v>0</v>
      </c>
      <c r="U225" s="11">
        <f>Stmnts!U233</f>
        <v>0</v>
      </c>
      <c r="V225" s="11">
        <f>Stmnts!V233</f>
        <v>0</v>
      </c>
      <c r="W225" s="11">
        <f>Stmnts!W233</f>
        <v>0</v>
      </c>
      <c r="X225" s="11">
        <f>Stmnts!X233</f>
        <v>0</v>
      </c>
    </row>
    <row r="226" spans="2:24" hidden="1" outlineLevel="1">
      <c r="D226" s="28" t="str">
        <f>Stmnts!D234</f>
        <v>Ordinary Equity Repayments</v>
      </c>
      <c r="L226" s="11">
        <f>Stmnts!L234</f>
        <v>0</v>
      </c>
      <c r="M226" s="11">
        <f>Stmnts!M234</f>
        <v>0</v>
      </c>
      <c r="N226" s="11">
        <f>Stmnts!N234</f>
        <v>0</v>
      </c>
      <c r="O226" s="11">
        <f>Stmnts!O234</f>
        <v>0</v>
      </c>
      <c r="P226" s="11">
        <f>Stmnts!P234</f>
        <v>0</v>
      </c>
      <c r="Q226" s="11">
        <f>Stmnts!Q234</f>
        <v>0</v>
      </c>
      <c r="R226" s="11">
        <f>Stmnts!R234</f>
        <v>0</v>
      </c>
      <c r="S226" s="11">
        <f>Stmnts!S234</f>
        <v>0</v>
      </c>
      <c r="T226" s="11">
        <f>Stmnts!T234</f>
        <v>0</v>
      </c>
      <c r="U226" s="11">
        <f>Stmnts!U234</f>
        <v>0</v>
      </c>
      <c r="V226" s="11">
        <f>Stmnts!V234</f>
        <v>0</v>
      </c>
      <c r="W226" s="11">
        <f>Stmnts!W234</f>
        <v>0</v>
      </c>
      <c r="X226" s="11">
        <f>Stmnts!X234</f>
        <v>0</v>
      </c>
    </row>
    <row r="227" spans="2:24" hidden="1" outlineLevel="1">
      <c r="D227" s="75" t="s">
        <v>144</v>
      </c>
      <c r="E227" s="76"/>
      <c r="F227" s="76"/>
      <c r="G227" s="76"/>
      <c r="H227" s="76"/>
      <c r="I227" s="76"/>
      <c r="J227" s="76"/>
      <c r="K227" s="76"/>
      <c r="L227" s="61">
        <f>SUM(L224:L226)</f>
        <v>120.95291095890413</v>
      </c>
      <c r="M227" s="61">
        <f t="shared" ref="M227:X227" ca="1" si="69">SUM(M224:M226)</f>
        <v>20.778955479452065</v>
      </c>
      <c r="N227" s="61">
        <f t="shared" ca="1" si="69"/>
        <v>15.645089897260291</v>
      </c>
      <c r="O227" s="61">
        <f t="shared" ca="1" si="69"/>
        <v>14.526720278113103</v>
      </c>
      <c r="P227" s="61">
        <f t="shared" ca="1" si="69"/>
        <v>32.966342639887841</v>
      </c>
      <c r="Q227" s="61" t="e">
        <f t="shared" ca="1" si="69"/>
        <v>#VALUE!</v>
      </c>
      <c r="R227" s="61">
        <f t="shared" ca="1" si="69"/>
        <v>38.295571028019197</v>
      </c>
      <c r="S227" s="61">
        <f t="shared" ca="1" si="69"/>
        <v>63.49658257910955</v>
      </c>
      <c r="T227" s="61">
        <f t="shared" ca="1" si="69"/>
        <v>56.634730685029893</v>
      </c>
      <c r="U227" s="61">
        <f t="shared" ca="1" si="69"/>
        <v>60.634148101575668</v>
      </c>
      <c r="V227" s="61">
        <f t="shared" ca="1" si="69"/>
        <v>81.694366604604085</v>
      </c>
      <c r="W227" s="61">
        <f t="shared" ca="1" si="69"/>
        <v>100.69183253819554</v>
      </c>
      <c r="X227" s="61">
        <f t="shared" ca="1" si="69"/>
        <v>94.081044769704164</v>
      </c>
    </row>
    <row r="228" spans="2:24" hidden="1" outlineLevel="1">
      <c r="D228" s="28" t="str">
        <f>D202</f>
        <v>Dividends Paid</v>
      </c>
      <c r="L228" s="11">
        <f t="shared" ref="L228:X228" ca="1" si="70">L202</f>
        <v>-9.751687500000001</v>
      </c>
      <c r="M228" s="11">
        <f t="shared" ca="1" si="70"/>
        <v>-8.5335406250000005</v>
      </c>
      <c r="N228" s="11">
        <f t="shared" ca="1" si="70"/>
        <v>-8.6642432812500019</v>
      </c>
      <c r="O228" s="11">
        <f t="shared" ca="1" si="70"/>
        <v>-8.7100340468750037</v>
      </c>
      <c r="P228" s="11">
        <f t="shared" ca="1" si="70"/>
        <v>-9.3248105754609441</v>
      </c>
      <c r="Q228" s="11" t="e">
        <f t="shared" ca="1" si="70"/>
        <v>#VALUE!</v>
      </c>
      <c r="R228" s="11" t="e">
        <f t="shared" ca="1" si="70"/>
        <v>#VALUE!</v>
      </c>
      <c r="S228" s="11" t="e">
        <f t="shared" ca="1" si="70"/>
        <v>#VALUE!</v>
      </c>
      <c r="T228" s="11" t="e">
        <f t="shared" ca="1" si="70"/>
        <v>#VALUE!</v>
      </c>
      <c r="U228" s="11" t="e">
        <f t="shared" ca="1" si="70"/>
        <v>#VALUE!</v>
      </c>
      <c r="V228" s="11" t="e">
        <f t="shared" ca="1" si="70"/>
        <v>#VALUE!</v>
      </c>
      <c r="W228" s="11" t="e">
        <f t="shared" ca="1" si="70"/>
        <v>#VALUE!</v>
      </c>
      <c r="X228" s="11" t="e">
        <f t="shared" ca="1" si="70"/>
        <v>#VALUE!</v>
      </c>
    </row>
    <row r="229" spans="2:24" hidden="1" outlineLevel="1">
      <c r="D229" s="75" t="s">
        <v>145</v>
      </c>
      <c r="E229" s="76"/>
      <c r="F229" s="76"/>
      <c r="G229" s="76"/>
      <c r="H229" s="76"/>
      <c r="I229" s="76"/>
      <c r="J229" s="76"/>
      <c r="K229" s="76"/>
      <c r="L229" s="61">
        <f ca="1">SUM(L227:L228)</f>
        <v>111.20122345890412</v>
      </c>
      <c r="M229" s="61">
        <f t="shared" ref="M229:X229" ca="1" si="71">SUM(M227:M228)</f>
        <v>12.245414854452065</v>
      </c>
      <c r="N229" s="61">
        <f t="shared" ca="1" si="71"/>
        <v>6.9808466160102896</v>
      </c>
      <c r="O229" s="61">
        <f t="shared" ca="1" si="71"/>
        <v>5.8166862312380996</v>
      </c>
      <c r="P229" s="61">
        <f t="shared" ca="1" si="71"/>
        <v>23.641532064426897</v>
      </c>
      <c r="Q229" s="61" t="e">
        <f t="shared" ca="1" si="71"/>
        <v>#VALUE!</v>
      </c>
      <c r="R229" s="61" t="e">
        <f t="shared" ca="1" si="71"/>
        <v>#VALUE!</v>
      </c>
      <c r="S229" s="61" t="e">
        <f t="shared" ca="1" si="71"/>
        <v>#VALUE!</v>
      </c>
      <c r="T229" s="61" t="e">
        <f t="shared" ca="1" si="71"/>
        <v>#VALUE!</v>
      </c>
      <c r="U229" s="61" t="e">
        <f t="shared" ca="1" si="71"/>
        <v>#VALUE!</v>
      </c>
      <c r="V229" s="61" t="e">
        <f t="shared" ca="1" si="71"/>
        <v>#VALUE!</v>
      </c>
      <c r="W229" s="61" t="e">
        <f t="shared" ca="1" si="71"/>
        <v>#VALUE!</v>
      </c>
      <c r="X229" s="61" t="e">
        <f t="shared" ca="1" si="71"/>
        <v>#VALUE!</v>
      </c>
    </row>
    <row r="230" spans="2:24" collapsed="1"/>
    <row r="231" spans="2:24" s="7" customFormat="1" ht="12.75">
      <c r="B231" s="7" t="s">
        <v>146</v>
      </c>
    </row>
    <row r="232" spans="2:24" ht="4.5" customHeight="1"/>
    <row r="233" spans="2:24" s="29" customFormat="1" ht="12">
      <c r="C233" s="29" t="s">
        <v>147</v>
      </c>
    </row>
    <row r="234" spans="2:24" hidden="1" outlineLevel="1"/>
    <row r="235" spans="2:24" hidden="1" outlineLevel="1">
      <c r="D235" s="27" t="s">
        <v>148</v>
      </c>
      <c r="K235" s="71">
        <v>0.3</v>
      </c>
      <c r="L235" s="48">
        <v>0.3</v>
      </c>
      <c r="M235" s="13">
        <v>0.3</v>
      </c>
      <c r="N235" s="13">
        <v>0.3</v>
      </c>
      <c r="O235" s="13">
        <v>0.3</v>
      </c>
      <c r="P235" s="13">
        <v>0.3</v>
      </c>
      <c r="Q235" s="13">
        <v>0.3</v>
      </c>
      <c r="R235" s="13">
        <v>0.3</v>
      </c>
      <c r="S235" s="13">
        <v>0.3</v>
      </c>
      <c r="T235" s="13">
        <v>0.3</v>
      </c>
      <c r="U235" s="13">
        <v>0.3</v>
      </c>
      <c r="V235" s="13">
        <v>0.3</v>
      </c>
      <c r="W235" s="13">
        <v>0.3</v>
      </c>
      <c r="X235" s="13">
        <v>0.3</v>
      </c>
    </row>
    <row r="236" spans="2:24" hidden="1" outlineLevel="1"/>
    <row r="237" spans="2:24" hidden="1" outlineLevel="1">
      <c r="D237" s="28" t="str">
        <f>Stmnts!$C$77</f>
        <v>NPBT</v>
      </c>
      <c r="L237" s="11">
        <f ca="1">Stmnts!L77</f>
        <v>23.762500000000014</v>
      </c>
      <c r="M237" s="11">
        <f ca="1">Stmnts!M77</f>
        <v>22.412500000000019</v>
      </c>
      <c r="N237" s="11">
        <f ca="1">Stmnts!N77</f>
        <v>18.496562500000021</v>
      </c>
      <c r="O237" s="11">
        <f ca="1">Stmnts!O77</f>
        <v>16.257226562500048</v>
      </c>
      <c r="P237" s="11">
        <f ca="1">Stmnts!P77</f>
        <v>32.579378026562573</v>
      </c>
      <c r="Q237" s="11">
        <f ca="1">Stmnts!Q77</f>
        <v>37.703181707226641</v>
      </c>
      <c r="R237" s="11">
        <f ca="1">Stmnts!R77</f>
        <v>43.874552737707297</v>
      </c>
      <c r="S237" s="11">
        <f ca="1">Stmnts!S77</f>
        <v>70.995670650725017</v>
      </c>
      <c r="T237" s="11">
        <f ca="1">Stmnts!T77</f>
        <v>76.863040129836918</v>
      </c>
      <c r="U237" s="11">
        <f ca="1">Stmnts!U77</f>
        <v>79.605602727610489</v>
      </c>
      <c r="V237" s="11">
        <f ca="1">Stmnts!V77</f>
        <v>103.36040424787072</v>
      </c>
      <c r="W237" s="11">
        <f ca="1">Stmnts!W77</f>
        <v>130.44832292732789</v>
      </c>
      <c r="X237" s="11">
        <f ca="1">Stmnts!X77</f>
        <v>131.73736403123789</v>
      </c>
    </row>
    <row r="238" spans="2:24" hidden="1" outlineLevel="1">
      <c r="D238" s="27" t="s">
        <v>149</v>
      </c>
      <c r="L238" s="12">
        <v>-1</v>
      </c>
      <c r="M238" s="12">
        <v>-1</v>
      </c>
      <c r="N238" s="12">
        <v>-1</v>
      </c>
      <c r="O238" s="12">
        <v>-1</v>
      </c>
      <c r="P238" s="12">
        <v>-1</v>
      </c>
      <c r="Q238" s="12">
        <v>-1</v>
      </c>
      <c r="R238" s="12">
        <v>-1</v>
      </c>
      <c r="S238" s="12">
        <v>-1</v>
      </c>
      <c r="T238" s="12">
        <v>-1</v>
      </c>
      <c r="U238" s="12">
        <v>-1</v>
      </c>
      <c r="V238" s="12">
        <v>-1</v>
      </c>
      <c r="W238" s="12">
        <v>-1</v>
      </c>
      <c r="X238" s="12">
        <v>-1</v>
      </c>
    </row>
    <row r="239" spans="2:24" hidden="1" outlineLevel="1">
      <c r="D239" s="27" t="s">
        <v>150</v>
      </c>
      <c r="L239" s="57">
        <v>7</v>
      </c>
      <c r="M239" s="57">
        <v>7</v>
      </c>
      <c r="N239" s="57">
        <v>7</v>
      </c>
      <c r="O239" s="57">
        <v>7</v>
      </c>
      <c r="P239" s="57">
        <v>7</v>
      </c>
      <c r="Q239" s="57">
        <v>7</v>
      </c>
      <c r="R239" s="57">
        <v>7</v>
      </c>
      <c r="S239" s="57">
        <v>7</v>
      </c>
      <c r="T239" s="57">
        <v>7</v>
      </c>
      <c r="U239" s="57">
        <v>7</v>
      </c>
      <c r="V239" s="57">
        <v>7</v>
      </c>
      <c r="W239" s="57">
        <v>7</v>
      </c>
      <c r="X239" s="57">
        <v>7</v>
      </c>
    </row>
    <row r="240" spans="2:24" hidden="1" outlineLevel="1">
      <c r="D240" s="27" t="s">
        <v>151</v>
      </c>
      <c r="L240" s="18">
        <f ca="1">SUM(L237:L239)</f>
        <v>29.762500000000014</v>
      </c>
      <c r="M240" s="18">
        <f t="shared" ref="M240:X240" ca="1" si="72">SUM(M237:M239)</f>
        <v>28.412500000000019</v>
      </c>
      <c r="N240" s="18">
        <f t="shared" ca="1" si="72"/>
        <v>24.496562500000021</v>
      </c>
      <c r="O240" s="18">
        <f t="shared" ca="1" si="72"/>
        <v>22.257226562500048</v>
      </c>
      <c r="P240" s="18">
        <f t="shared" ca="1" si="72"/>
        <v>38.579378026562573</v>
      </c>
      <c r="Q240" s="18">
        <f t="shared" ca="1" si="72"/>
        <v>43.703181707226641</v>
      </c>
      <c r="R240" s="18">
        <f t="shared" ca="1" si="72"/>
        <v>49.874552737707297</v>
      </c>
      <c r="S240" s="18">
        <f t="shared" ca="1" si="72"/>
        <v>76.995670650725017</v>
      </c>
      <c r="T240" s="18">
        <f t="shared" ca="1" si="72"/>
        <v>82.863040129836918</v>
      </c>
      <c r="U240" s="18">
        <f t="shared" ca="1" si="72"/>
        <v>85.605602727610489</v>
      </c>
      <c r="V240" s="18">
        <f t="shared" ca="1" si="72"/>
        <v>109.36040424787072</v>
      </c>
      <c r="W240" s="18">
        <f t="shared" ca="1" si="72"/>
        <v>136.44832292732789</v>
      </c>
      <c r="X240" s="18">
        <f t="shared" ca="1" si="72"/>
        <v>137.73736403123789</v>
      </c>
    </row>
    <row r="241" spans="3:24" hidden="1" outlineLevel="1"/>
    <row r="242" spans="3:24" hidden="1" outlineLevel="1">
      <c r="D242" s="27" t="s">
        <v>152</v>
      </c>
      <c r="L242" s="11">
        <f ca="1">-L235*L240</f>
        <v>-8.9287500000000044</v>
      </c>
      <c r="M242" s="11">
        <f t="shared" ref="M242:X242" ca="1" si="73">-M235*M240</f>
        <v>-8.523750000000005</v>
      </c>
      <c r="N242" s="11">
        <f t="shared" ca="1" si="73"/>
        <v>-7.3489687500000063</v>
      </c>
      <c r="O242" s="11">
        <f t="shared" ca="1" si="73"/>
        <v>-6.6771679687500143</v>
      </c>
      <c r="P242" s="11">
        <f t="shared" ca="1" si="73"/>
        <v>-11.573813407968771</v>
      </c>
      <c r="Q242" s="11">
        <f t="shared" ca="1" si="73"/>
        <v>-13.110954512167991</v>
      </c>
      <c r="R242" s="11">
        <f t="shared" ca="1" si="73"/>
        <v>-14.962365821312188</v>
      </c>
      <c r="S242" s="11">
        <f t="shared" ca="1" si="73"/>
        <v>-23.098701195217505</v>
      </c>
      <c r="T242" s="11">
        <f t="shared" ca="1" si="73"/>
        <v>-24.858912038951075</v>
      </c>
      <c r="U242" s="11">
        <f t="shared" ca="1" si="73"/>
        <v>-25.681680818283144</v>
      </c>
      <c r="V242" s="11">
        <f t="shared" ca="1" si="73"/>
        <v>-32.808121274361213</v>
      </c>
      <c r="W242" s="11">
        <f t="shared" ca="1" si="73"/>
        <v>-40.934496878198367</v>
      </c>
      <c r="X242" s="11">
        <f t="shared" ca="1" si="73"/>
        <v>-41.321209209371368</v>
      </c>
    </row>
    <row r="243" spans="3:24" hidden="1" outlineLevel="1">
      <c r="D243" s="27" t="s">
        <v>153</v>
      </c>
      <c r="L243" s="11">
        <f t="shared" ref="L243:X243" si="74">L278-L289</f>
        <v>0</v>
      </c>
      <c r="M243" s="11">
        <f t="shared" ca="1" si="74"/>
        <v>0</v>
      </c>
      <c r="N243" s="11">
        <f t="shared" ca="1" si="74"/>
        <v>0</v>
      </c>
      <c r="O243" s="11">
        <f t="shared" ca="1" si="74"/>
        <v>0</v>
      </c>
      <c r="P243" s="11">
        <f t="shared" ca="1" si="74"/>
        <v>0</v>
      </c>
      <c r="Q243" s="11">
        <f t="shared" ca="1" si="74"/>
        <v>0</v>
      </c>
      <c r="R243" s="11">
        <f t="shared" ca="1" si="74"/>
        <v>0</v>
      </c>
      <c r="S243" s="11">
        <f t="shared" ca="1" si="74"/>
        <v>0</v>
      </c>
      <c r="T243" s="11">
        <f t="shared" ca="1" si="74"/>
        <v>0</v>
      </c>
      <c r="U243" s="11">
        <f t="shared" ca="1" si="74"/>
        <v>0</v>
      </c>
      <c r="V243" s="11">
        <f t="shared" ca="1" si="74"/>
        <v>0</v>
      </c>
      <c r="W243" s="11">
        <f t="shared" ca="1" si="74"/>
        <v>0</v>
      </c>
      <c r="X243" s="11">
        <f t="shared" ca="1" si="74"/>
        <v>0</v>
      </c>
    </row>
    <row r="244" spans="3:24" hidden="1" outlineLevel="1">
      <c r="D244" s="68" t="s">
        <v>147</v>
      </c>
      <c r="L244" s="61">
        <f t="shared" ref="L244:X244" ca="1" si="75">SUM(L242:L243)</f>
        <v>-8.9287500000000044</v>
      </c>
      <c r="M244" s="61">
        <f t="shared" ca="1" si="75"/>
        <v>-8.523750000000005</v>
      </c>
      <c r="N244" s="61">
        <f t="shared" ca="1" si="75"/>
        <v>-7.3489687500000063</v>
      </c>
      <c r="O244" s="61">
        <f t="shared" ca="1" si="75"/>
        <v>-6.6771679687500143</v>
      </c>
      <c r="P244" s="61">
        <f t="shared" ca="1" si="75"/>
        <v>-11.573813407968771</v>
      </c>
      <c r="Q244" s="61">
        <f t="shared" ca="1" si="75"/>
        <v>-13.110954512167991</v>
      </c>
      <c r="R244" s="61">
        <f t="shared" ca="1" si="75"/>
        <v>-14.962365821312188</v>
      </c>
      <c r="S244" s="61">
        <f t="shared" ca="1" si="75"/>
        <v>-23.098701195217505</v>
      </c>
      <c r="T244" s="61">
        <f t="shared" ca="1" si="75"/>
        <v>-24.858912038951075</v>
      </c>
      <c r="U244" s="61">
        <f t="shared" ca="1" si="75"/>
        <v>-25.681680818283144</v>
      </c>
      <c r="V244" s="61">
        <f t="shared" ca="1" si="75"/>
        <v>-32.808121274361213</v>
      </c>
      <c r="W244" s="61">
        <f t="shared" ca="1" si="75"/>
        <v>-40.934496878198367</v>
      </c>
      <c r="X244" s="61">
        <f t="shared" ca="1" si="75"/>
        <v>-41.321209209371368</v>
      </c>
    </row>
    <row r="245" spans="3:24" collapsed="1"/>
    <row r="246" spans="3:24" s="29" customFormat="1" ht="12">
      <c r="C246" s="29" t="s">
        <v>154</v>
      </c>
    </row>
    <row r="247" spans="3:24" hidden="1" outlineLevel="1"/>
    <row r="248" spans="3:24" hidden="1" outlineLevel="1">
      <c r="D248" s="28" t="str">
        <f>D240</f>
        <v>Accounting Taxable Profit / (Loss)</v>
      </c>
      <c r="L248" s="11">
        <f t="shared" ref="L248:X248" ca="1" si="76">L240</f>
        <v>29.762500000000014</v>
      </c>
      <c r="M248" s="11">
        <f t="shared" ca="1" si="76"/>
        <v>28.412500000000019</v>
      </c>
      <c r="N248" s="11">
        <f t="shared" ca="1" si="76"/>
        <v>24.496562500000021</v>
      </c>
      <c r="O248" s="11">
        <f t="shared" ca="1" si="76"/>
        <v>22.257226562500048</v>
      </c>
      <c r="P248" s="11">
        <f t="shared" ca="1" si="76"/>
        <v>38.579378026562573</v>
      </c>
      <c r="Q248" s="11">
        <f t="shared" ca="1" si="76"/>
        <v>43.703181707226641</v>
      </c>
      <c r="R248" s="11">
        <f t="shared" ca="1" si="76"/>
        <v>49.874552737707297</v>
      </c>
      <c r="S248" s="11">
        <f t="shared" ca="1" si="76"/>
        <v>76.995670650725017</v>
      </c>
      <c r="T248" s="11">
        <f t="shared" ca="1" si="76"/>
        <v>82.863040129836918</v>
      </c>
      <c r="U248" s="11">
        <f t="shared" ca="1" si="76"/>
        <v>85.605602727610489</v>
      </c>
      <c r="V248" s="11">
        <f t="shared" ca="1" si="76"/>
        <v>109.36040424787072</v>
      </c>
      <c r="W248" s="11">
        <f t="shared" ca="1" si="76"/>
        <v>136.44832292732789</v>
      </c>
      <c r="X248" s="11">
        <f t="shared" ca="1" si="76"/>
        <v>137.73736403123789</v>
      </c>
    </row>
    <row r="249" spans="3:24" hidden="1" outlineLevel="1"/>
    <row r="250" spans="3:24" hidden="1" outlineLevel="1">
      <c r="C250" s="80" t="s">
        <v>139</v>
      </c>
      <c r="D250" s="27" t="s">
        <v>155</v>
      </c>
      <c r="L250" s="11">
        <f ca="1">-L476</f>
        <v>7.5</v>
      </c>
      <c r="M250" s="11">
        <f t="shared" ref="M250:X250" ca="1" si="77">-M476</f>
        <v>8.75</v>
      </c>
      <c r="N250" s="11">
        <f t="shared" ca="1" si="77"/>
        <v>8.75</v>
      </c>
      <c r="O250" s="11">
        <f t="shared" ca="1" si="77"/>
        <v>8.75</v>
      </c>
      <c r="P250" s="11">
        <f t="shared" ca="1" si="77"/>
        <v>10.25</v>
      </c>
      <c r="Q250" s="11">
        <f t="shared" ca="1" si="77"/>
        <v>11.75</v>
      </c>
      <c r="R250" s="11">
        <f t="shared" ca="1" si="77"/>
        <v>11.75</v>
      </c>
      <c r="S250" s="11">
        <f t="shared" ca="1" si="77"/>
        <v>11.75</v>
      </c>
      <c r="T250" s="11">
        <f t="shared" ca="1" si="77"/>
        <v>7.25</v>
      </c>
      <c r="U250" s="11">
        <f t="shared" ca="1" si="77"/>
        <v>9</v>
      </c>
      <c r="V250" s="11">
        <f t="shared" ca="1" si="77"/>
        <v>7.75</v>
      </c>
      <c r="W250" s="11">
        <f t="shared" ca="1" si="77"/>
        <v>6.5</v>
      </c>
      <c r="X250" s="11">
        <f t="shared" ca="1" si="77"/>
        <v>6.5</v>
      </c>
    </row>
    <row r="251" spans="3:24" hidden="1" outlineLevel="1">
      <c r="D251" s="69" t="s">
        <v>156</v>
      </c>
      <c r="L251" s="18">
        <f t="shared" ref="L251:X251" ca="1" si="78">SUM(L250:L250)</f>
        <v>7.5</v>
      </c>
      <c r="M251" s="18">
        <f t="shared" ca="1" si="78"/>
        <v>8.75</v>
      </c>
      <c r="N251" s="18">
        <f t="shared" ca="1" si="78"/>
        <v>8.75</v>
      </c>
      <c r="O251" s="18">
        <f t="shared" ca="1" si="78"/>
        <v>8.75</v>
      </c>
      <c r="P251" s="18">
        <f t="shared" ca="1" si="78"/>
        <v>10.25</v>
      </c>
      <c r="Q251" s="18">
        <f t="shared" ca="1" si="78"/>
        <v>11.75</v>
      </c>
      <c r="R251" s="18">
        <f t="shared" ca="1" si="78"/>
        <v>11.75</v>
      </c>
      <c r="S251" s="18">
        <f t="shared" ca="1" si="78"/>
        <v>11.75</v>
      </c>
      <c r="T251" s="18">
        <f t="shared" ca="1" si="78"/>
        <v>7.25</v>
      </c>
      <c r="U251" s="18">
        <f t="shared" ca="1" si="78"/>
        <v>9</v>
      </c>
      <c r="V251" s="18">
        <f t="shared" ca="1" si="78"/>
        <v>7.75</v>
      </c>
      <c r="W251" s="18">
        <f t="shared" ca="1" si="78"/>
        <v>6.5</v>
      </c>
      <c r="X251" s="18">
        <f t="shared" ca="1" si="78"/>
        <v>6.5</v>
      </c>
    </row>
    <row r="252" spans="3:24" hidden="1" outlineLevel="1"/>
    <row r="253" spans="3:24" hidden="1" outlineLevel="1">
      <c r="D253" s="27" t="s">
        <v>157</v>
      </c>
      <c r="L253" s="11">
        <f t="shared" ref="L253:X253" ca="1" si="79">L248+L251</f>
        <v>37.262500000000017</v>
      </c>
      <c r="M253" s="11">
        <f t="shared" ca="1" si="79"/>
        <v>37.162500000000023</v>
      </c>
      <c r="N253" s="11">
        <f t="shared" ca="1" si="79"/>
        <v>33.246562500000024</v>
      </c>
      <c r="O253" s="11">
        <f t="shared" ca="1" si="79"/>
        <v>31.007226562500048</v>
      </c>
      <c r="P253" s="11">
        <f t="shared" ca="1" si="79"/>
        <v>48.829378026562573</v>
      </c>
      <c r="Q253" s="11">
        <f t="shared" ca="1" si="79"/>
        <v>55.453181707226641</v>
      </c>
      <c r="R253" s="11">
        <f t="shared" ca="1" si="79"/>
        <v>61.624552737707297</v>
      </c>
      <c r="S253" s="11">
        <f t="shared" ca="1" si="79"/>
        <v>88.745670650725017</v>
      </c>
      <c r="T253" s="11">
        <f t="shared" ca="1" si="79"/>
        <v>90.113040129836918</v>
      </c>
      <c r="U253" s="11">
        <f t="shared" ca="1" si="79"/>
        <v>94.605602727610489</v>
      </c>
      <c r="V253" s="11">
        <f t="shared" ca="1" si="79"/>
        <v>117.11040424787072</v>
      </c>
      <c r="W253" s="11">
        <f t="shared" ca="1" si="79"/>
        <v>142.94832292732789</v>
      </c>
      <c r="X253" s="11">
        <f t="shared" ca="1" si="79"/>
        <v>144.23736403123789</v>
      </c>
    </row>
    <row r="254" spans="3:24" hidden="1" outlineLevel="1">
      <c r="D254" s="28" t="str">
        <f>D264</f>
        <v>Tax Losses Utilised</v>
      </c>
      <c r="L254" s="11">
        <f ca="1">L264</f>
        <v>-4</v>
      </c>
      <c r="M254" s="11">
        <f t="shared" ref="M254:X254" ca="1" si="80">M264</f>
        <v>0</v>
      </c>
      <c r="N254" s="11">
        <f t="shared" ca="1" si="80"/>
        <v>0</v>
      </c>
      <c r="O254" s="11">
        <f t="shared" ca="1" si="80"/>
        <v>0</v>
      </c>
      <c r="P254" s="11">
        <f t="shared" ca="1" si="80"/>
        <v>0</v>
      </c>
      <c r="Q254" s="11">
        <f t="shared" ca="1" si="80"/>
        <v>0</v>
      </c>
      <c r="R254" s="11">
        <f t="shared" ca="1" si="80"/>
        <v>0</v>
      </c>
      <c r="S254" s="11">
        <f t="shared" ca="1" si="80"/>
        <v>0</v>
      </c>
      <c r="T254" s="11">
        <f t="shared" ca="1" si="80"/>
        <v>0</v>
      </c>
      <c r="U254" s="11">
        <f t="shared" ca="1" si="80"/>
        <v>0</v>
      </c>
      <c r="V254" s="11">
        <f t="shared" ca="1" si="80"/>
        <v>0</v>
      </c>
      <c r="W254" s="11">
        <f t="shared" ca="1" si="80"/>
        <v>0</v>
      </c>
      <c r="X254" s="11">
        <f t="shared" ca="1" si="80"/>
        <v>0</v>
      </c>
    </row>
    <row r="255" spans="3:24" hidden="1" outlineLevel="1">
      <c r="D255" s="27" t="s">
        <v>158</v>
      </c>
      <c r="L255" s="18">
        <f t="shared" ref="L255:X255" ca="1" si="81">SUM(L253:L254)</f>
        <v>33.262500000000017</v>
      </c>
      <c r="M255" s="18">
        <f t="shared" ca="1" si="81"/>
        <v>37.162500000000023</v>
      </c>
      <c r="N255" s="18">
        <f t="shared" ca="1" si="81"/>
        <v>33.246562500000024</v>
      </c>
      <c r="O255" s="18">
        <f t="shared" ca="1" si="81"/>
        <v>31.007226562500048</v>
      </c>
      <c r="P255" s="18">
        <f t="shared" ca="1" si="81"/>
        <v>48.829378026562573</v>
      </c>
      <c r="Q255" s="18">
        <f t="shared" ca="1" si="81"/>
        <v>55.453181707226641</v>
      </c>
      <c r="R255" s="18">
        <f t="shared" ca="1" si="81"/>
        <v>61.624552737707297</v>
      </c>
      <c r="S255" s="18">
        <f t="shared" ca="1" si="81"/>
        <v>88.745670650725017</v>
      </c>
      <c r="T255" s="18">
        <f t="shared" ca="1" si="81"/>
        <v>90.113040129836918</v>
      </c>
      <c r="U255" s="18">
        <f t="shared" ca="1" si="81"/>
        <v>94.605602727610489</v>
      </c>
      <c r="V255" s="18">
        <f t="shared" ca="1" si="81"/>
        <v>117.11040424787072</v>
      </c>
      <c r="W255" s="18">
        <f t="shared" ca="1" si="81"/>
        <v>142.94832292732789</v>
      </c>
      <c r="X255" s="18">
        <f t="shared" ca="1" si="81"/>
        <v>144.23736403123789</v>
      </c>
    </row>
    <row r="256" spans="3:24" hidden="1" outlineLevel="1"/>
    <row r="257" spans="3:24" hidden="1" outlineLevel="1">
      <c r="D257" s="28" t="str">
        <f>D235</f>
        <v>Corporate Tax Rate</v>
      </c>
      <c r="L257" s="15">
        <f t="shared" ref="L257:X257" si="82">L235</f>
        <v>0.3</v>
      </c>
      <c r="M257" s="15">
        <f t="shared" si="82"/>
        <v>0.3</v>
      </c>
      <c r="N257" s="15">
        <f t="shared" si="82"/>
        <v>0.3</v>
      </c>
      <c r="O257" s="15">
        <f t="shared" si="82"/>
        <v>0.3</v>
      </c>
      <c r="P257" s="15">
        <f t="shared" si="82"/>
        <v>0.3</v>
      </c>
      <c r="Q257" s="15">
        <f t="shared" si="82"/>
        <v>0.3</v>
      </c>
      <c r="R257" s="15">
        <f t="shared" si="82"/>
        <v>0.3</v>
      </c>
      <c r="S257" s="15">
        <f t="shared" si="82"/>
        <v>0.3</v>
      </c>
      <c r="T257" s="15">
        <f t="shared" si="82"/>
        <v>0.3</v>
      </c>
      <c r="U257" s="15">
        <f t="shared" si="82"/>
        <v>0.3</v>
      </c>
      <c r="V257" s="15">
        <f t="shared" si="82"/>
        <v>0.3</v>
      </c>
      <c r="W257" s="15">
        <f t="shared" si="82"/>
        <v>0.3</v>
      </c>
      <c r="X257" s="15">
        <f t="shared" si="82"/>
        <v>0.3</v>
      </c>
    </row>
    <row r="258" spans="3:24" hidden="1" outlineLevel="1">
      <c r="D258" s="68" t="s">
        <v>154</v>
      </c>
      <c r="L258" s="61">
        <f ca="1">MAX(0,L255*L257)</f>
        <v>9.9787500000000051</v>
      </c>
      <c r="M258" s="61">
        <f t="shared" ref="M258:X258" ca="1" si="83">MAX(0,M255*M257)</f>
        <v>11.148750000000007</v>
      </c>
      <c r="N258" s="61">
        <f t="shared" ca="1" si="83"/>
        <v>9.9739687500000063</v>
      </c>
      <c r="O258" s="61">
        <f t="shared" ca="1" si="83"/>
        <v>9.3021679687500143</v>
      </c>
      <c r="P258" s="61">
        <f t="shared" ca="1" si="83"/>
        <v>14.64881340796877</v>
      </c>
      <c r="Q258" s="61">
        <f t="shared" ca="1" si="83"/>
        <v>16.635954512167991</v>
      </c>
      <c r="R258" s="61">
        <f t="shared" ca="1" si="83"/>
        <v>18.487365821312189</v>
      </c>
      <c r="S258" s="61">
        <f t="shared" ca="1" si="83"/>
        <v>26.623701195217503</v>
      </c>
      <c r="T258" s="61">
        <f t="shared" ca="1" si="83"/>
        <v>27.033912038951076</v>
      </c>
      <c r="U258" s="61">
        <f t="shared" ca="1" si="83"/>
        <v>28.381680818283147</v>
      </c>
      <c r="V258" s="61">
        <f t="shared" ca="1" si="83"/>
        <v>35.133121274361216</v>
      </c>
      <c r="W258" s="61">
        <f t="shared" ca="1" si="83"/>
        <v>42.88449687819837</v>
      </c>
      <c r="X258" s="61">
        <f t="shared" ca="1" si="83"/>
        <v>43.271209209371364</v>
      </c>
    </row>
    <row r="259" spans="3:24" collapsed="1"/>
    <row r="260" spans="3:24" s="29" customFormat="1" ht="12">
      <c r="C260" s="29" t="s">
        <v>159</v>
      </c>
    </row>
    <row r="261" spans="3:24" hidden="1" outlineLevel="1"/>
    <row r="262" spans="3:24" hidden="1" outlineLevel="1">
      <c r="D262" s="27" t="s">
        <v>160</v>
      </c>
      <c r="L262" s="12">
        <v>4</v>
      </c>
      <c r="M262" s="11">
        <f ca="1">L265</f>
        <v>0</v>
      </c>
      <c r="N262" s="11">
        <f t="shared" ref="N262:X262" ca="1" si="84">M265</f>
        <v>0</v>
      </c>
      <c r="O262" s="11">
        <f t="shared" ca="1" si="84"/>
        <v>0</v>
      </c>
      <c r="P262" s="11">
        <f t="shared" ca="1" si="84"/>
        <v>0</v>
      </c>
      <c r="Q262" s="11">
        <f t="shared" ca="1" si="84"/>
        <v>0</v>
      </c>
      <c r="R262" s="11">
        <f t="shared" ca="1" si="84"/>
        <v>0</v>
      </c>
      <c r="S262" s="11">
        <f t="shared" ca="1" si="84"/>
        <v>0</v>
      </c>
      <c r="T262" s="11">
        <f t="shared" ca="1" si="84"/>
        <v>0</v>
      </c>
      <c r="U262" s="11">
        <f t="shared" ca="1" si="84"/>
        <v>0</v>
      </c>
      <c r="V262" s="11">
        <f t="shared" ca="1" si="84"/>
        <v>0</v>
      </c>
      <c r="W262" s="11">
        <f t="shared" ca="1" si="84"/>
        <v>0</v>
      </c>
      <c r="X262" s="11">
        <f t="shared" ca="1" si="84"/>
        <v>0</v>
      </c>
    </row>
    <row r="263" spans="3:24" hidden="1" outlineLevel="1">
      <c r="D263" s="27" t="s">
        <v>161</v>
      </c>
      <c r="L263" s="11">
        <f ca="1">MAX(-L255,0)</f>
        <v>0</v>
      </c>
      <c r="M263" s="11">
        <f t="shared" ref="M263:X263" ca="1" si="85">MAX(-M255,0)</f>
        <v>0</v>
      </c>
      <c r="N263" s="11">
        <f t="shared" ca="1" si="85"/>
        <v>0</v>
      </c>
      <c r="O263" s="11">
        <f t="shared" ca="1" si="85"/>
        <v>0</v>
      </c>
      <c r="P263" s="11">
        <f t="shared" ca="1" si="85"/>
        <v>0</v>
      </c>
      <c r="Q263" s="11">
        <f t="shared" ca="1" si="85"/>
        <v>0</v>
      </c>
      <c r="R263" s="11">
        <f t="shared" ca="1" si="85"/>
        <v>0</v>
      </c>
      <c r="S263" s="11">
        <f t="shared" ca="1" si="85"/>
        <v>0</v>
      </c>
      <c r="T263" s="11">
        <f t="shared" ca="1" si="85"/>
        <v>0</v>
      </c>
      <c r="U263" s="11">
        <f t="shared" ca="1" si="85"/>
        <v>0</v>
      </c>
      <c r="V263" s="11">
        <f t="shared" ca="1" si="85"/>
        <v>0</v>
      </c>
      <c r="W263" s="11">
        <f t="shared" ca="1" si="85"/>
        <v>0</v>
      </c>
      <c r="X263" s="11">
        <f t="shared" ca="1" si="85"/>
        <v>0</v>
      </c>
    </row>
    <row r="264" spans="3:24" hidden="1" outlineLevel="1">
      <c r="D264" s="27" t="s">
        <v>162</v>
      </c>
      <c r="L264" s="11">
        <f ca="1">-MAX(0,MIN(L262,L253))</f>
        <v>-4</v>
      </c>
      <c r="M264" s="11">
        <f t="shared" ref="M264:X264" ca="1" si="86">-MAX(0,MIN(M262,M253))</f>
        <v>0</v>
      </c>
      <c r="N264" s="11">
        <f t="shared" ca="1" si="86"/>
        <v>0</v>
      </c>
      <c r="O264" s="11">
        <f t="shared" ca="1" si="86"/>
        <v>0</v>
      </c>
      <c r="P264" s="11">
        <f t="shared" ca="1" si="86"/>
        <v>0</v>
      </c>
      <c r="Q264" s="11">
        <f t="shared" ca="1" si="86"/>
        <v>0</v>
      </c>
      <c r="R264" s="11">
        <f t="shared" ca="1" si="86"/>
        <v>0</v>
      </c>
      <c r="S264" s="11">
        <f t="shared" ca="1" si="86"/>
        <v>0</v>
      </c>
      <c r="T264" s="11">
        <f t="shared" ca="1" si="86"/>
        <v>0</v>
      </c>
      <c r="U264" s="11">
        <f t="shared" ca="1" si="86"/>
        <v>0</v>
      </c>
      <c r="V264" s="11">
        <f t="shared" ca="1" si="86"/>
        <v>0</v>
      </c>
      <c r="W264" s="11">
        <f t="shared" ca="1" si="86"/>
        <v>0</v>
      </c>
      <c r="X264" s="11">
        <f t="shared" ca="1" si="86"/>
        <v>0</v>
      </c>
    </row>
    <row r="265" spans="3:24" hidden="1" outlineLevel="1">
      <c r="D265" s="27" t="s">
        <v>163</v>
      </c>
      <c r="L265" s="18">
        <f ca="1">SUM(L262:L264)</f>
        <v>0</v>
      </c>
      <c r="M265" s="18">
        <f t="shared" ref="M265:X265" ca="1" si="87">SUM(M262:M264)</f>
        <v>0</v>
      </c>
      <c r="N265" s="18">
        <f t="shared" ca="1" si="87"/>
        <v>0</v>
      </c>
      <c r="O265" s="18">
        <f t="shared" ca="1" si="87"/>
        <v>0</v>
      </c>
      <c r="P265" s="18">
        <f t="shared" ca="1" si="87"/>
        <v>0</v>
      </c>
      <c r="Q265" s="18">
        <f t="shared" ca="1" si="87"/>
        <v>0</v>
      </c>
      <c r="R265" s="18">
        <f t="shared" ca="1" si="87"/>
        <v>0</v>
      </c>
      <c r="S265" s="18">
        <f t="shared" ca="1" si="87"/>
        <v>0</v>
      </c>
      <c r="T265" s="18">
        <f t="shared" ca="1" si="87"/>
        <v>0</v>
      </c>
      <c r="U265" s="18">
        <f t="shared" ca="1" si="87"/>
        <v>0</v>
      </c>
      <c r="V265" s="18">
        <f t="shared" ca="1" si="87"/>
        <v>0</v>
      </c>
      <c r="W265" s="18">
        <f t="shared" ca="1" si="87"/>
        <v>0</v>
      </c>
      <c r="X265" s="18">
        <f t="shared" ca="1" si="87"/>
        <v>0</v>
      </c>
    </row>
    <row r="266" spans="3:24" collapsed="1"/>
    <row r="267" spans="3:24" s="29" customFormat="1" ht="12">
      <c r="C267" s="29" t="s">
        <v>164</v>
      </c>
    </row>
    <row r="268" spans="3:24" hidden="1" outlineLevel="1"/>
    <row r="269" spans="3:24" hidden="1" outlineLevel="1">
      <c r="D269" s="27" t="s">
        <v>165</v>
      </c>
      <c r="L269" s="12">
        <v>2.2000000000000002</v>
      </c>
      <c r="M269" s="11">
        <f ca="1">L272</f>
        <v>9.9787500000000051</v>
      </c>
      <c r="N269" s="11">
        <f t="shared" ref="N269:X269" ca="1" si="88">M272</f>
        <v>11.148750000000007</v>
      </c>
      <c r="O269" s="11">
        <f t="shared" ca="1" si="88"/>
        <v>9.9739687500000045</v>
      </c>
      <c r="P269" s="11">
        <f t="shared" ca="1" si="88"/>
        <v>9.3021679687500107</v>
      </c>
      <c r="Q269" s="11">
        <f t="shared" ca="1" si="88"/>
        <v>14.648813407968765</v>
      </c>
      <c r="R269" s="11">
        <f t="shared" ca="1" si="88"/>
        <v>16.635954512167988</v>
      </c>
      <c r="S269" s="11">
        <f t="shared" ca="1" si="88"/>
        <v>18.487365821312189</v>
      </c>
      <c r="T269" s="11">
        <f t="shared" ca="1" si="88"/>
        <v>26.6237011952175</v>
      </c>
      <c r="U269" s="11">
        <f t="shared" ca="1" si="88"/>
        <v>27.033912038951076</v>
      </c>
      <c r="V269" s="11">
        <f t="shared" ca="1" si="88"/>
        <v>28.381680818283147</v>
      </c>
      <c r="W269" s="11">
        <f t="shared" ca="1" si="88"/>
        <v>35.133121274361216</v>
      </c>
      <c r="X269" s="11">
        <f t="shared" ca="1" si="88"/>
        <v>42.884496878198362</v>
      </c>
    </row>
    <row r="270" spans="3:24" hidden="1" outlineLevel="1">
      <c r="D270" s="27" t="s">
        <v>154</v>
      </c>
      <c r="L270" s="11">
        <f ca="1">L258</f>
        <v>9.9787500000000051</v>
      </c>
      <c r="M270" s="11">
        <f t="shared" ref="M270:X270" ca="1" si="89">M258</f>
        <v>11.148750000000007</v>
      </c>
      <c r="N270" s="11">
        <f t="shared" ca="1" si="89"/>
        <v>9.9739687500000063</v>
      </c>
      <c r="O270" s="11">
        <f t="shared" ca="1" si="89"/>
        <v>9.3021679687500143</v>
      </c>
      <c r="P270" s="11">
        <f t="shared" ca="1" si="89"/>
        <v>14.64881340796877</v>
      </c>
      <c r="Q270" s="11">
        <f t="shared" ca="1" si="89"/>
        <v>16.635954512167991</v>
      </c>
      <c r="R270" s="11">
        <f t="shared" ca="1" si="89"/>
        <v>18.487365821312189</v>
      </c>
      <c r="S270" s="11">
        <f t="shared" ca="1" si="89"/>
        <v>26.623701195217503</v>
      </c>
      <c r="T270" s="11">
        <f t="shared" ca="1" si="89"/>
        <v>27.033912038951076</v>
      </c>
      <c r="U270" s="11">
        <f t="shared" ca="1" si="89"/>
        <v>28.381680818283147</v>
      </c>
      <c r="V270" s="11">
        <f t="shared" ca="1" si="89"/>
        <v>35.133121274361216</v>
      </c>
      <c r="W270" s="11">
        <f t="shared" ca="1" si="89"/>
        <v>42.88449687819837</v>
      </c>
      <c r="X270" s="11">
        <f t="shared" ca="1" si="89"/>
        <v>43.271209209371364</v>
      </c>
    </row>
    <row r="271" spans="3:24" hidden="1" outlineLevel="1">
      <c r="D271" s="27" t="s">
        <v>166</v>
      </c>
      <c r="L271" s="57">
        <f t="shared" ref="L271:X271" si="90">-IF(L$20=1,L269,K270)</f>
        <v>-2.2000000000000002</v>
      </c>
      <c r="M271" s="57">
        <f t="shared" ca="1" si="90"/>
        <v>-9.9787500000000051</v>
      </c>
      <c r="N271" s="57">
        <f t="shared" ca="1" si="90"/>
        <v>-11.148750000000007</v>
      </c>
      <c r="O271" s="57">
        <f t="shared" ca="1" si="90"/>
        <v>-9.9739687500000063</v>
      </c>
      <c r="P271" s="57">
        <f t="shared" ca="1" si="90"/>
        <v>-9.3021679687500143</v>
      </c>
      <c r="Q271" s="57">
        <f t="shared" ca="1" si="90"/>
        <v>-14.64881340796877</v>
      </c>
      <c r="R271" s="57">
        <f t="shared" ca="1" si="90"/>
        <v>-16.635954512167991</v>
      </c>
      <c r="S271" s="57">
        <f t="shared" ca="1" si="90"/>
        <v>-18.487365821312189</v>
      </c>
      <c r="T271" s="57">
        <f t="shared" ca="1" si="90"/>
        <v>-26.623701195217503</v>
      </c>
      <c r="U271" s="57">
        <f t="shared" ca="1" si="90"/>
        <v>-27.033912038951076</v>
      </c>
      <c r="V271" s="57">
        <f t="shared" ca="1" si="90"/>
        <v>-28.381680818283147</v>
      </c>
      <c r="W271" s="57">
        <f t="shared" ca="1" si="90"/>
        <v>-35.133121274361216</v>
      </c>
      <c r="X271" s="57">
        <f t="shared" ca="1" si="90"/>
        <v>-42.88449687819837</v>
      </c>
    </row>
    <row r="272" spans="3:24" hidden="1" outlineLevel="1">
      <c r="D272" s="27" t="s">
        <v>167</v>
      </c>
      <c r="L272" s="18">
        <f ca="1">SUM(L269:L271)</f>
        <v>9.9787500000000051</v>
      </c>
      <c r="M272" s="18">
        <f t="shared" ref="M272:X272" ca="1" si="91">SUM(M269:M271)</f>
        <v>11.148750000000007</v>
      </c>
      <c r="N272" s="18">
        <f t="shared" ca="1" si="91"/>
        <v>9.9739687500000045</v>
      </c>
      <c r="O272" s="18">
        <f t="shared" ca="1" si="91"/>
        <v>9.3021679687500107</v>
      </c>
      <c r="P272" s="18">
        <f t="shared" ca="1" si="91"/>
        <v>14.648813407968765</v>
      </c>
      <c r="Q272" s="18">
        <f t="shared" ca="1" si="91"/>
        <v>16.635954512167988</v>
      </c>
      <c r="R272" s="18">
        <f t="shared" ca="1" si="91"/>
        <v>18.487365821312189</v>
      </c>
      <c r="S272" s="18">
        <f t="shared" ca="1" si="91"/>
        <v>26.6237011952175</v>
      </c>
      <c r="T272" s="18">
        <f t="shared" ca="1" si="91"/>
        <v>27.033912038951076</v>
      </c>
      <c r="U272" s="18">
        <f t="shared" ca="1" si="91"/>
        <v>28.381680818283147</v>
      </c>
      <c r="V272" s="18">
        <f t="shared" ca="1" si="91"/>
        <v>35.133121274361216</v>
      </c>
      <c r="W272" s="18">
        <f t="shared" ca="1" si="91"/>
        <v>42.884496878198362</v>
      </c>
      <c r="X272" s="18">
        <f t="shared" ca="1" si="91"/>
        <v>43.271209209371357</v>
      </c>
    </row>
    <row r="273" spans="3:24" collapsed="1"/>
    <row r="274" spans="3:24" s="29" customFormat="1" ht="12">
      <c r="C274" s="29" t="s">
        <v>168</v>
      </c>
    </row>
    <row r="275" spans="3:24" hidden="1" outlineLevel="1"/>
    <row r="276" spans="3:24" hidden="1" outlineLevel="1">
      <c r="D276" s="27" t="s">
        <v>74</v>
      </c>
      <c r="L276" s="12">
        <v>1.2</v>
      </c>
      <c r="M276" s="11">
        <f ca="1">L279</f>
        <v>0</v>
      </c>
      <c r="N276" s="11">
        <f t="shared" ref="N276:X276" ca="1" si="92">M279</f>
        <v>0</v>
      </c>
      <c r="O276" s="11">
        <f t="shared" ca="1" si="92"/>
        <v>0</v>
      </c>
      <c r="P276" s="11">
        <f t="shared" ca="1" si="92"/>
        <v>0</v>
      </c>
      <c r="Q276" s="11">
        <f t="shared" ca="1" si="92"/>
        <v>0</v>
      </c>
      <c r="R276" s="11">
        <f t="shared" ca="1" si="92"/>
        <v>0</v>
      </c>
      <c r="S276" s="11">
        <f t="shared" ca="1" si="92"/>
        <v>0</v>
      </c>
      <c r="T276" s="11">
        <f t="shared" ca="1" si="92"/>
        <v>0</v>
      </c>
      <c r="U276" s="11">
        <f t="shared" ca="1" si="92"/>
        <v>0</v>
      </c>
      <c r="V276" s="11">
        <f t="shared" ca="1" si="92"/>
        <v>0</v>
      </c>
      <c r="W276" s="11">
        <f t="shared" ca="1" si="92"/>
        <v>0</v>
      </c>
      <c r="X276" s="11">
        <f t="shared" ca="1" si="92"/>
        <v>0</v>
      </c>
    </row>
    <row r="277" spans="3:24" hidden="1" outlineLevel="1">
      <c r="D277" s="28" t="str">
        <f>D283</f>
        <v>Increase / (Decrease) in DTA</v>
      </c>
      <c r="L277" s="11">
        <f ca="1">L283</f>
        <v>-1.2</v>
      </c>
      <c r="M277" s="11">
        <f t="shared" ref="M277:X277" ca="1" si="93">M283</f>
        <v>0</v>
      </c>
      <c r="N277" s="11">
        <f t="shared" ca="1" si="93"/>
        <v>0</v>
      </c>
      <c r="O277" s="11">
        <f t="shared" ca="1" si="93"/>
        <v>0</v>
      </c>
      <c r="P277" s="11">
        <f t="shared" ca="1" si="93"/>
        <v>0</v>
      </c>
      <c r="Q277" s="11">
        <f t="shared" ca="1" si="93"/>
        <v>0</v>
      </c>
      <c r="R277" s="11">
        <f t="shared" ca="1" si="93"/>
        <v>0</v>
      </c>
      <c r="S277" s="11">
        <f t="shared" ca="1" si="93"/>
        <v>0</v>
      </c>
      <c r="T277" s="11">
        <f t="shared" ca="1" si="93"/>
        <v>0</v>
      </c>
      <c r="U277" s="11">
        <f t="shared" ca="1" si="93"/>
        <v>0</v>
      </c>
      <c r="V277" s="11">
        <f t="shared" ca="1" si="93"/>
        <v>0</v>
      </c>
      <c r="W277" s="11">
        <f t="shared" ca="1" si="93"/>
        <v>0</v>
      </c>
      <c r="X277" s="11">
        <f t="shared" ca="1" si="93"/>
        <v>0</v>
      </c>
    </row>
    <row r="278" spans="3:24" hidden="1" outlineLevel="1">
      <c r="D278" s="28" t="s">
        <v>169</v>
      </c>
      <c r="L278" s="11">
        <f>L276/K282*L282-L276</f>
        <v>0</v>
      </c>
      <c r="M278" s="11">
        <f t="shared" ref="M278:X278" ca="1" si="94">M276/L282*M282-M276</f>
        <v>0</v>
      </c>
      <c r="N278" s="11">
        <f t="shared" ca="1" si="94"/>
        <v>0</v>
      </c>
      <c r="O278" s="11">
        <f t="shared" ca="1" si="94"/>
        <v>0</v>
      </c>
      <c r="P278" s="11">
        <f t="shared" ca="1" si="94"/>
        <v>0</v>
      </c>
      <c r="Q278" s="11">
        <f t="shared" ca="1" si="94"/>
        <v>0</v>
      </c>
      <c r="R278" s="11">
        <f t="shared" ca="1" si="94"/>
        <v>0</v>
      </c>
      <c r="S278" s="11">
        <f t="shared" ca="1" si="94"/>
        <v>0</v>
      </c>
      <c r="T278" s="11">
        <f t="shared" ca="1" si="94"/>
        <v>0</v>
      </c>
      <c r="U278" s="11">
        <f t="shared" ca="1" si="94"/>
        <v>0</v>
      </c>
      <c r="V278" s="11">
        <f t="shared" ca="1" si="94"/>
        <v>0</v>
      </c>
      <c r="W278" s="11">
        <f t="shared" ca="1" si="94"/>
        <v>0</v>
      </c>
      <c r="X278" s="11">
        <f t="shared" ca="1" si="94"/>
        <v>0</v>
      </c>
    </row>
    <row r="279" spans="3:24" hidden="1" outlineLevel="1">
      <c r="D279" s="27" t="s">
        <v>77</v>
      </c>
      <c r="L279" s="18">
        <f ca="1">SUM(L276:L278)</f>
        <v>0</v>
      </c>
      <c r="M279" s="18">
        <f t="shared" ref="M279:X279" ca="1" si="95">SUM(M276:M278)</f>
        <v>0</v>
      </c>
      <c r="N279" s="18">
        <f t="shared" ca="1" si="95"/>
        <v>0</v>
      </c>
      <c r="O279" s="18">
        <f t="shared" ca="1" si="95"/>
        <v>0</v>
      </c>
      <c r="P279" s="18">
        <f t="shared" ca="1" si="95"/>
        <v>0</v>
      </c>
      <c r="Q279" s="18">
        <f t="shared" ca="1" si="95"/>
        <v>0</v>
      </c>
      <c r="R279" s="18">
        <f t="shared" ca="1" si="95"/>
        <v>0</v>
      </c>
      <c r="S279" s="18">
        <f t="shared" ca="1" si="95"/>
        <v>0</v>
      </c>
      <c r="T279" s="18">
        <f t="shared" ca="1" si="95"/>
        <v>0</v>
      </c>
      <c r="U279" s="18">
        <f t="shared" ca="1" si="95"/>
        <v>0</v>
      </c>
      <c r="V279" s="18">
        <f t="shared" ca="1" si="95"/>
        <v>0</v>
      </c>
      <c r="W279" s="18">
        <f t="shared" ca="1" si="95"/>
        <v>0</v>
      </c>
      <c r="X279" s="18">
        <f t="shared" ca="1" si="95"/>
        <v>0</v>
      </c>
    </row>
    <row r="280" spans="3:24" hidden="1" outlineLevel="1"/>
    <row r="281" spans="3:24" hidden="1" outlineLevel="1">
      <c r="D281" s="27" t="s">
        <v>170</v>
      </c>
      <c r="L281" s="11">
        <f ca="1">SUM(L263:L264)</f>
        <v>-4</v>
      </c>
      <c r="M281" s="11">
        <f ca="1">SUM(M263:M264)</f>
        <v>0</v>
      </c>
      <c r="N281" s="11">
        <f ca="1">SUM(N263:N264)</f>
        <v>0</v>
      </c>
      <c r="O281" s="11">
        <f ca="1">SUM(O263:O264)</f>
        <v>0</v>
      </c>
      <c r="P281" s="11">
        <f ca="1">SUM(P263:P264)</f>
        <v>0</v>
      </c>
      <c r="Q281" s="11">
        <f t="shared" ref="Q281:X281" ca="1" si="96">SUM(Q263:Q264)</f>
        <v>0</v>
      </c>
      <c r="R281" s="11">
        <f t="shared" ca="1" si="96"/>
        <v>0</v>
      </c>
      <c r="S281" s="11">
        <f t="shared" ca="1" si="96"/>
        <v>0</v>
      </c>
      <c r="T281" s="11">
        <f t="shared" ca="1" si="96"/>
        <v>0</v>
      </c>
      <c r="U281" s="11">
        <f t="shared" ca="1" si="96"/>
        <v>0</v>
      </c>
      <c r="V281" s="11">
        <f t="shared" ca="1" si="96"/>
        <v>0</v>
      </c>
      <c r="W281" s="11">
        <f t="shared" ca="1" si="96"/>
        <v>0</v>
      </c>
      <c r="X281" s="11">
        <f t="shared" ca="1" si="96"/>
        <v>0</v>
      </c>
    </row>
    <row r="282" spans="3:24" hidden="1" outlineLevel="1">
      <c r="D282" s="28" t="str">
        <f>D$235</f>
        <v>Corporate Tax Rate</v>
      </c>
      <c r="K282" s="70">
        <f t="shared" ref="K282:X282" si="97">K$235</f>
        <v>0.3</v>
      </c>
      <c r="L282" s="15">
        <f t="shared" si="97"/>
        <v>0.3</v>
      </c>
      <c r="M282" s="15">
        <f t="shared" si="97"/>
        <v>0.3</v>
      </c>
      <c r="N282" s="15">
        <f t="shared" si="97"/>
        <v>0.3</v>
      </c>
      <c r="O282" s="15">
        <f t="shared" si="97"/>
        <v>0.3</v>
      </c>
      <c r="P282" s="15">
        <f t="shared" si="97"/>
        <v>0.3</v>
      </c>
      <c r="Q282" s="15">
        <f t="shared" si="97"/>
        <v>0.3</v>
      </c>
      <c r="R282" s="15">
        <f t="shared" si="97"/>
        <v>0.3</v>
      </c>
      <c r="S282" s="15">
        <f t="shared" si="97"/>
        <v>0.3</v>
      </c>
      <c r="T282" s="15">
        <f t="shared" si="97"/>
        <v>0.3</v>
      </c>
      <c r="U282" s="15">
        <f t="shared" si="97"/>
        <v>0.3</v>
      </c>
      <c r="V282" s="15">
        <f t="shared" si="97"/>
        <v>0.3</v>
      </c>
      <c r="W282" s="15">
        <f t="shared" si="97"/>
        <v>0.3</v>
      </c>
      <c r="X282" s="15">
        <f t="shared" si="97"/>
        <v>0.3</v>
      </c>
    </row>
    <row r="283" spans="3:24" hidden="1" outlineLevel="1">
      <c r="D283" s="27" t="s">
        <v>171</v>
      </c>
      <c r="L283" s="18">
        <f t="shared" ref="L283:X283" ca="1" si="98">L281*L282</f>
        <v>-1.2</v>
      </c>
      <c r="M283" s="18">
        <f t="shared" ca="1" si="98"/>
        <v>0</v>
      </c>
      <c r="N283" s="18">
        <f t="shared" ca="1" si="98"/>
        <v>0</v>
      </c>
      <c r="O283" s="18">
        <f t="shared" ca="1" si="98"/>
        <v>0</v>
      </c>
      <c r="P283" s="18">
        <f t="shared" ca="1" si="98"/>
        <v>0</v>
      </c>
      <c r="Q283" s="18">
        <f t="shared" ca="1" si="98"/>
        <v>0</v>
      </c>
      <c r="R283" s="18">
        <f t="shared" ca="1" si="98"/>
        <v>0</v>
      </c>
      <c r="S283" s="18">
        <f t="shared" ca="1" si="98"/>
        <v>0</v>
      </c>
      <c r="T283" s="18">
        <f t="shared" ca="1" si="98"/>
        <v>0</v>
      </c>
      <c r="U283" s="18">
        <f t="shared" ca="1" si="98"/>
        <v>0</v>
      </c>
      <c r="V283" s="18">
        <f t="shared" ca="1" si="98"/>
        <v>0</v>
      </c>
      <c r="W283" s="18">
        <f t="shared" ca="1" si="98"/>
        <v>0</v>
      </c>
      <c r="X283" s="18">
        <f t="shared" ca="1" si="98"/>
        <v>0</v>
      </c>
    </row>
    <row r="284" spans="3:24" collapsed="1"/>
    <row r="285" spans="3:24" s="29" customFormat="1" ht="12">
      <c r="C285" s="29" t="s">
        <v>172</v>
      </c>
    </row>
    <row r="286" spans="3:24" hidden="1" outlineLevel="1"/>
    <row r="287" spans="3:24" hidden="1" outlineLevel="1">
      <c r="D287" s="27" t="s">
        <v>74</v>
      </c>
      <c r="L287" s="12">
        <v>35</v>
      </c>
      <c r="M287" s="11">
        <f ca="1">L290</f>
        <v>32.75</v>
      </c>
      <c r="N287" s="11">
        <f t="shared" ref="N287:X287" ca="1" si="99">M290</f>
        <v>30.125</v>
      </c>
      <c r="O287" s="11">
        <f t="shared" ca="1" si="99"/>
        <v>27.5</v>
      </c>
      <c r="P287" s="11">
        <f t="shared" ca="1" si="99"/>
        <v>24.875</v>
      </c>
      <c r="Q287" s="11">
        <f t="shared" ca="1" si="99"/>
        <v>21.8</v>
      </c>
      <c r="R287" s="11">
        <f t="shared" ca="1" si="99"/>
        <v>18.275000000000002</v>
      </c>
      <c r="S287" s="11">
        <f t="shared" ca="1" si="99"/>
        <v>14.750000000000002</v>
      </c>
      <c r="T287" s="11">
        <f t="shared" ca="1" si="99"/>
        <v>11.225000000000001</v>
      </c>
      <c r="U287" s="11">
        <f t="shared" ca="1" si="99"/>
        <v>9.0500000000000007</v>
      </c>
      <c r="V287" s="11">
        <f t="shared" ca="1" si="99"/>
        <v>6.3500000000000014</v>
      </c>
      <c r="W287" s="11">
        <f t="shared" ca="1" si="99"/>
        <v>4.0250000000000021</v>
      </c>
      <c r="X287" s="11">
        <f t="shared" ca="1" si="99"/>
        <v>2.075000000000002</v>
      </c>
    </row>
    <row r="288" spans="3:24" hidden="1" outlineLevel="1">
      <c r="D288" s="28" t="str">
        <f>D294</f>
        <v>Increase / (Decrease) in DTL</v>
      </c>
      <c r="L288" s="11">
        <f t="shared" ref="L288:X288" ca="1" si="100">L294</f>
        <v>-2.25</v>
      </c>
      <c r="M288" s="11">
        <f t="shared" ca="1" si="100"/>
        <v>-2.625</v>
      </c>
      <c r="N288" s="11">
        <f t="shared" ca="1" si="100"/>
        <v>-2.625</v>
      </c>
      <c r="O288" s="11">
        <f t="shared" ca="1" si="100"/>
        <v>-2.625</v>
      </c>
      <c r="P288" s="11">
        <f t="shared" ca="1" si="100"/>
        <v>-3.0749999999999997</v>
      </c>
      <c r="Q288" s="11">
        <f t="shared" ca="1" si="100"/>
        <v>-3.5249999999999999</v>
      </c>
      <c r="R288" s="11">
        <f t="shared" ca="1" si="100"/>
        <v>-3.5249999999999999</v>
      </c>
      <c r="S288" s="11">
        <f t="shared" ca="1" si="100"/>
        <v>-3.5249999999999999</v>
      </c>
      <c r="T288" s="11">
        <f t="shared" ca="1" si="100"/>
        <v>-2.1749999999999998</v>
      </c>
      <c r="U288" s="11">
        <f t="shared" ca="1" si="100"/>
        <v>-2.6999999999999997</v>
      </c>
      <c r="V288" s="11">
        <f t="shared" ca="1" si="100"/>
        <v>-2.3249999999999997</v>
      </c>
      <c r="W288" s="11">
        <f t="shared" ca="1" si="100"/>
        <v>-1.95</v>
      </c>
      <c r="X288" s="11">
        <f t="shared" ca="1" si="100"/>
        <v>-1.95</v>
      </c>
    </row>
    <row r="289" spans="3:24" hidden="1" outlineLevel="1">
      <c r="D289" s="28" t="s">
        <v>169</v>
      </c>
      <c r="L289" s="11">
        <f>L287/K293*L293-L287</f>
        <v>0</v>
      </c>
      <c r="M289" s="11">
        <f t="shared" ref="M289:X289" ca="1" si="101">M287/L293*M293-M287</f>
        <v>0</v>
      </c>
      <c r="N289" s="11">
        <f t="shared" ca="1" si="101"/>
        <v>0</v>
      </c>
      <c r="O289" s="11">
        <f t="shared" ca="1" si="101"/>
        <v>0</v>
      </c>
      <c r="P289" s="11">
        <f t="shared" ca="1" si="101"/>
        <v>0</v>
      </c>
      <c r="Q289" s="11">
        <f t="shared" ca="1" si="101"/>
        <v>0</v>
      </c>
      <c r="R289" s="11">
        <f t="shared" ca="1" si="101"/>
        <v>0</v>
      </c>
      <c r="S289" s="11">
        <f t="shared" ca="1" si="101"/>
        <v>0</v>
      </c>
      <c r="T289" s="11">
        <f t="shared" ca="1" si="101"/>
        <v>0</v>
      </c>
      <c r="U289" s="11">
        <f t="shared" ca="1" si="101"/>
        <v>0</v>
      </c>
      <c r="V289" s="11">
        <f t="shared" ca="1" si="101"/>
        <v>0</v>
      </c>
      <c r="W289" s="11">
        <f t="shared" ca="1" si="101"/>
        <v>0</v>
      </c>
      <c r="X289" s="11">
        <f t="shared" ca="1" si="101"/>
        <v>0</v>
      </c>
    </row>
    <row r="290" spans="3:24" hidden="1" outlineLevel="1">
      <c r="D290" s="27" t="s">
        <v>77</v>
      </c>
      <c r="L290" s="18">
        <f t="shared" ref="L290:X290" ca="1" si="102">SUM(L287:L289)</f>
        <v>32.75</v>
      </c>
      <c r="M290" s="18">
        <f t="shared" ca="1" si="102"/>
        <v>30.125</v>
      </c>
      <c r="N290" s="18">
        <f t="shared" ca="1" si="102"/>
        <v>27.5</v>
      </c>
      <c r="O290" s="18">
        <f t="shared" ca="1" si="102"/>
        <v>24.875</v>
      </c>
      <c r="P290" s="18">
        <f t="shared" ca="1" si="102"/>
        <v>21.8</v>
      </c>
      <c r="Q290" s="18">
        <f t="shared" ca="1" si="102"/>
        <v>18.275000000000002</v>
      </c>
      <c r="R290" s="18">
        <f t="shared" ca="1" si="102"/>
        <v>14.750000000000002</v>
      </c>
      <c r="S290" s="18">
        <f t="shared" ca="1" si="102"/>
        <v>11.225000000000001</v>
      </c>
      <c r="T290" s="18">
        <f t="shared" ca="1" si="102"/>
        <v>9.0500000000000007</v>
      </c>
      <c r="U290" s="18">
        <f t="shared" ca="1" si="102"/>
        <v>6.3500000000000014</v>
      </c>
      <c r="V290" s="18">
        <f t="shared" ca="1" si="102"/>
        <v>4.0250000000000021</v>
      </c>
      <c r="W290" s="18">
        <f t="shared" ca="1" si="102"/>
        <v>2.075000000000002</v>
      </c>
      <c r="X290" s="18">
        <f t="shared" ca="1" si="102"/>
        <v>0.125000000000002</v>
      </c>
    </row>
    <row r="291" spans="3:24" hidden="1" outlineLevel="1"/>
    <row r="292" spans="3:24" hidden="1" outlineLevel="1">
      <c r="D292" s="27" t="s">
        <v>173</v>
      </c>
      <c r="L292" s="11">
        <f t="shared" ref="L292:X292" ca="1" si="103">-L251</f>
        <v>-7.5</v>
      </c>
      <c r="M292" s="11">
        <f t="shared" ca="1" si="103"/>
        <v>-8.75</v>
      </c>
      <c r="N292" s="11">
        <f t="shared" ca="1" si="103"/>
        <v>-8.75</v>
      </c>
      <c r="O292" s="11">
        <f t="shared" ca="1" si="103"/>
        <v>-8.75</v>
      </c>
      <c r="P292" s="11">
        <f t="shared" ca="1" si="103"/>
        <v>-10.25</v>
      </c>
      <c r="Q292" s="11">
        <f t="shared" ca="1" si="103"/>
        <v>-11.75</v>
      </c>
      <c r="R292" s="11">
        <f t="shared" ca="1" si="103"/>
        <v>-11.75</v>
      </c>
      <c r="S292" s="11">
        <f t="shared" ca="1" si="103"/>
        <v>-11.75</v>
      </c>
      <c r="T292" s="11">
        <f t="shared" ca="1" si="103"/>
        <v>-7.25</v>
      </c>
      <c r="U292" s="11">
        <f t="shared" ca="1" si="103"/>
        <v>-9</v>
      </c>
      <c r="V292" s="11">
        <f t="shared" ca="1" si="103"/>
        <v>-7.75</v>
      </c>
      <c r="W292" s="11">
        <f t="shared" ca="1" si="103"/>
        <v>-6.5</v>
      </c>
      <c r="X292" s="11">
        <f t="shared" ca="1" si="103"/>
        <v>-6.5</v>
      </c>
    </row>
    <row r="293" spans="3:24" hidden="1" outlineLevel="1">
      <c r="D293" s="28" t="str">
        <f>D$235</f>
        <v>Corporate Tax Rate</v>
      </c>
      <c r="K293" s="70">
        <f t="shared" ref="K293:X293" si="104">K$235</f>
        <v>0.3</v>
      </c>
      <c r="L293" s="15">
        <f t="shared" si="104"/>
        <v>0.3</v>
      </c>
      <c r="M293" s="15">
        <f t="shared" si="104"/>
        <v>0.3</v>
      </c>
      <c r="N293" s="15">
        <f t="shared" si="104"/>
        <v>0.3</v>
      </c>
      <c r="O293" s="15">
        <f t="shared" si="104"/>
        <v>0.3</v>
      </c>
      <c r="P293" s="15">
        <f t="shared" si="104"/>
        <v>0.3</v>
      </c>
      <c r="Q293" s="15">
        <f t="shared" si="104"/>
        <v>0.3</v>
      </c>
      <c r="R293" s="15">
        <f t="shared" si="104"/>
        <v>0.3</v>
      </c>
      <c r="S293" s="15">
        <f t="shared" si="104"/>
        <v>0.3</v>
      </c>
      <c r="T293" s="15">
        <f t="shared" si="104"/>
        <v>0.3</v>
      </c>
      <c r="U293" s="15">
        <f t="shared" si="104"/>
        <v>0.3</v>
      </c>
      <c r="V293" s="15">
        <f t="shared" si="104"/>
        <v>0.3</v>
      </c>
      <c r="W293" s="15">
        <f t="shared" si="104"/>
        <v>0.3</v>
      </c>
      <c r="X293" s="15">
        <f t="shared" si="104"/>
        <v>0.3</v>
      </c>
    </row>
    <row r="294" spans="3:24" hidden="1" outlineLevel="1">
      <c r="D294" s="27" t="s">
        <v>174</v>
      </c>
      <c r="L294" s="18">
        <f t="shared" ref="L294:X294" ca="1" si="105">L292*L293</f>
        <v>-2.25</v>
      </c>
      <c r="M294" s="18">
        <f t="shared" ca="1" si="105"/>
        <v>-2.625</v>
      </c>
      <c r="N294" s="18">
        <f t="shared" ca="1" si="105"/>
        <v>-2.625</v>
      </c>
      <c r="O294" s="18">
        <f t="shared" ca="1" si="105"/>
        <v>-2.625</v>
      </c>
      <c r="P294" s="18">
        <f t="shared" ca="1" si="105"/>
        <v>-3.0749999999999997</v>
      </c>
      <c r="Q294" s="18">
        <f t="shared" ca="1" si="105"/>
        <v>-3.5249999999999999</v>
      </c>
      <c r="R294" s="18">
        <f t="shared" ca="1" si="105"/>
        <v>-3.5249999999999999</v>
      </c>
      <c r="S294" s="18">
        <f t="shared" ca="1" si="105"/>
        <v>-3.5249999999999999</v>
      </c>
      <c r="T294" s="18">
        <f t="shared" ca="1" si="105"/>
        <v>-2.1749999999999998</v>
      </c>
      <c r="U294" s="18">
        <f t="shared" ca="1" si="105"/>
        <v>-2.6999999999999997</v>
      </c>
      <c r="V294" s="18">
        <f t="shared" ca="1" si="105"/>
        <v>-2.3249999999999997</v>
      </c>
      <c r="W294" s="18">
        <f t="shared" ca="1" si="105"/>
        <v>-1.95</v>
      </c>
      <c r="X294" s="18">
        <f t="shared" ca="1" si="105"/>
        <v>-1.95</v>
      </c>
    </row>
    <row r="295" spans="3:24" collapsed="1"/>
    <row r="296" spans="3:24" s="29" customFormat="1" ht="12">
      <c r="C296" s="29" t="s">
        <v>175</v>
      </c>
    </row>
    <row r="297" spans="3:24" hidden="1" outlineLevel="1"/>
    <row r="298" spans="3:24" hidden="1" outlineLevel="1">
      <c r="D298" s="28" t="str">
        <f>D271</f>
        <v>Tax Paid</v>
      </c>
      <c r="L298" s="11">
        <f t="shared" ref="L298:X298" si="106">L271</f>
        <v>-2.2000000000000002</v>
      </c>
      <c r="M298" s="11">
        <f t="shared" ca="1" si="106"/>
        <v>-9.9787500000000051</v>
      </c>
      <c r="N298" s="11">
        <f t="shared" ca="1" si="106"/>
        <v>-11.148750000000007</v>
      </c>
      <c r="O298" s="11">
        <f t="shared" ca="1" si="106"/>
        <v>-9.9739687500000063</v>
      </c>
      <c r="P298" s="11">
        <f t="shared" ca="1" si="106"/>
        <v>-9.3021679687500143</v>
      </c>
      <c r="Q298" s="11">
        <f t="shared" ca="1" si="106"/>
        <v>-14.64881340796877</v>
      </c>
      <c r="R298" s="11">
        <f t="shared" ca="1" si="106"/>
        <v>-16.635954512167991</v>
      </c>
      <c r="S298" s="11">
        <f t="shared" ca="1" si="106"/>
        <v>-18.487365821312189</v>
      </c>
      <c r="T298" s="11">
        <f t="shared" ca="1" si="106"/>
        <v>-26.623701195217503</v>
      </c>
      <c r="U298" s="11">
        <f t="shared" ca="1" si="106"/>
        <v>-27.033912038951076</v>
      </c>
      <c r="V298" s="11">
        <f t="shared" ca="1" si="106"/>
        <v>-28.381680818283147</v>
      </c>
      <c r="W298" s="11">
        <f t="shared" ca="1" si="106"/>
        <v>-35.133121274361216</v>
      </c>
      <c r="X298" s="11">
        <f t="shared" ca="1" si="106"/>
        <v>-42.88449687819837</v>
      </c>
    </row>
    <row r="299" spans="3:24" hidden="1" outlineLevel="1">
      <c r="D299" s="27" t="s">
        <v>176</v>
      </c>
      <c r="L299" s="11">
        <f t="shared" ref="L299:X299" ca="1" si="107">SUM(L277:L278)</f>
        <v>-1.2</v>
      </c>
      <c r="M299" s="11">
        <f t="shared" ca="1" si="107"/>
        <v>0</v>
      </c>
      <c r="N299" s="11">
        <f t="shared" ca="1" si="107"/>
        <v>0</v>
      </c>
      <c r="O299" s="11">
        <f t="shared" ca="1" si="107"/>
        <v>0</v>
      </c>
      <c r="P299" s="11">
        <f t="shared" ca="1" si="107"/>
        <v>0</v>
      </c>
      <c r="Q299" s="11">
        <f t="shared" ca="1" si="107"/>
        <v>0</v>
      </c>
      <c r="R299" s="11">
        <f t="shared" ca="1" si="107"/>
        <v>0</v>
      </c>
      <c r="S299" s="11">
        <f t="shared" ca="1" si="107"/>
        <v>0</v>
      </c>
      <c r="T299" s="11">
        <f t="shared" ca="1" si="107"/>
        <v>0</v>
      </c>
      <c r="U299" s="11">
        <f t="shared" ca="1" si="107"/>
        <v>0</v>
      </c>
      <c r="V299" s="11">
        <f t="shared" ca="1" si="107"/>
        <v>0</v>
      </c>
      <c r="W299" s="11">
        <f t="shared" ca="1" si="107"/>
        <v>0</v>
      </c>
      <c r="X299" s="11">
        <f t="shared" ca="1" si="107"/>
        <v>0</v>
      </c>
    </row>
    <row r="300" spans="3:24" hidden="1" outlineLevel="1"/>
    <row r="301" spans="3:24" hidden="1" outlineLevel="1">
      <c r="D301" s="27" t="s">
        <v>177</v>
      </c>
      <c r="L301" s="11">
        <f t="shared" ref="L301:X301" ca="1" si="108">L270+L271</f>
        <v>7.7787500000000049</v>
      </c>
      <c r="M301" s="11">
        <f t="shared" ca="1" si="108"/>
        <v>1.1700000000000017</v>
      </c>
      <c r="N301" s="11">
        <f t="shared" ca="1" si="108"/>
        <v>-1.1747812500000006</v>
      </c>
      <c r="O301" s="11">
        <f t="shared" ca="1" si="108"/>
        <v>-0.67180078124999199</v>
      </c>
      <c r="P301" s="11">
        <f t="shared" ca="1" si="108"/>
        <v>5.3466454392187561</v>
      </c>
      <c r="Q301" s="11">
        <f t="shared" ca="1" si="108"/>
        <v>1.9871411041992211</v>
      </c>
      <c r="R301" s="11">
        <f t="shared" ca="1" si="108"/>
        <v>1.851411309144197</v>
      </c>
      <c r="S301" s="11">
        <f t="shared" ca="1" si="108"/>
        <v>8.1363353739053146</v>
      </c>
      <c r="T301" s="11">
        <f t="shared" ca="1" si="108"/>
        <v>0.41021084373357297</v>
      </c>
      <c r="U301" s="11">
        <f t="shared" ca="1" si="108"/>
        <v>1.3477687793320712</v>
      </c>
      <c r="V301" s="11">
        <f t="shared" ca="1" si="108"/>
        <v>6.7514404560780683</v>
      </c>
      <c r="W301" s="11">
        <f t="shared" ca="1" si="108"/>
        <v>7.751375603837154</v>
      </c>
      <c r="X301" s="11">
        <f t="shared" ca="1" si="108"/>
        <v>0.38671233117299408</v>
      </c>
    </row>
    <row r="302" spans="3:24" hidden="1" outlineLevel="1">
      <c r="D302" s="27" t="s">
        <v>178</v>
      </c>
      <c r="L302" s="11">
        <f t="shared" ref="L302:X302" ca="1" si="109">SUM(L288:L289)</f>
        <v>-2.25</v>
      </c>
      <c r="M302" s="11">
        <f t="shared" ca="1" si="109"/>
        <v>-2.625</v>
      </c>
      <c r="N302" s="11">
        <f t="shared" ca="1" si="109"/>
        <v>-2.625</v>
      </c>
      <c r="O302" s="11">
        <f t="shared" ca="1" si="109"/>
        <v>-2.625</v>
      </c>
      <c r="P302" s="11">
        <f t="shared" ca="1" si="109"/>
        <v>-3.0749999999999997</v>
      </c>
      <c r="Q302" s="11">
        <f t="shared" ca="1" si="109"/>
        <v>-3.5249999999999999</v>
      </c>
      <c r="R302" s="11">
        <f t="shared" ca="1" si="109"/>
        <v>-3.5249999999999999</v>
      </c>
      <c r="S302" s="11">
        <f t="shared" ca="1" si="109"/>
        <v>-3.5249999999999999</v>
      </c>
      <c r="T302" s="11">
        <f t="shared" ca="1" si="109"/>
        <v>-2.1749999999999998</v>
      </c>
      <c r="U302" s="11">
        <f t="shared" ca="1" si="109"/>
        <v>-2.6999999999999997</v>
      </c>
      <c r="V302" s="11">
        <f t="shared" ca="1" si="109"/>
        <v>-2.3249999999999997</v>
      </c>
      <c r="W302" s="11">
        <f t="shared" ca="1" si="109"/>
        <v>-1.95</v>
      </c>
      <c r="X302" s="11">
        <f t="shared" ca="1" si="109"/>
        <v>-1.95</v>
      </c>
    </row>
    <row r="303" spans="3:24" hidden="1" outlineLevel="1"/>
    <row r="304" spans="3:24" hidden="1" outlineLevel="1">
      <c r="D304" s="27" t="s">
        <v>179</v>
      </c>
      <c r="L304" s="72">
        <f ca="1">SUM(L298:L299)-SUM(L301:L302)</f>
        <v>-8.9287500000000044</v>
      </c>
      <c r="M304" s="72">
        <f t="shared" ref="M304:X304" ca="1" si="110">SUM(M298:M299)-SUM(M301:M302)</f>
        <v>-8.5237500000000068</v>
      </c>
      <c r="N304" s="72">
        <f t="shared" ca="1" si="110"/>
        <v>-7.3489687500000063</v>
      </c>
      <c r="O304" s="72">
        <f t="shared" ca="1" si="110"/>
        <v>-6.6771679687500143</v>
      </c>
      <c r="P304" s="72">
        <f t="shared" ca="1" si="110"/>
        <v>-11.573813407968771</v>
      </c>
      <c r="Q304" s="72">
        <f t="shared" ca="1" si="110"/>
        <v>-13.110954512167991</v>
      </c>
      <c r="R304" s="72">
        <f t="shared" ca="1" si="110"/>
        <v>-14.962365821312188</v>
      </c>
      <c r="S304" s="72">
        <f t="shared" ca="1" si="110"/>
        <v>-23.098701195217501</v>
      </c>
      <c r="T304" s="72">
        <f t="shared" ca="1" si="110"/>
        <v>-24.858912038951075</v>
      </c>
      <c r="U304" s="72">
        <f t="shared" ca="1" si="110"/>
        <v>-25.681680818283148</v>
      </c>
      <c r="V304" s="72">
        <f t="shared" ca="1" si="110"/>
        <v>-32.808121274361213</v>
      </c>
      <c r="W304" s="72">
        <f t="shared" ca="1" si="110"/>
        <v>-40.934496878198367</v>
      </c>
      <c r="X304" s="72">
        <f t="shared" ca="1" si="110"/>
        <v>-41.321209209371361</v>
      </c>
    </row>
    <row r="305" spans="2:24" hidden="1" outlineLevel="1"/>
    <row r="306" spans="2:24" hidden="1" outlineLevel="1">
      <c r="D306" s="28" t="str">
        <f>D244</f>
        <v>Tax Expense</v>
      </c>
      <c r="L306" s="72">
        <f t="shared" ref="L306:X306" ca="1" si="111">L244</f>
        <v>-8.9287500000000044</v>
      </c>
      <c r="M306" s="72">
        <f t="shared" ca="1" si="111"/>
        <v>-8.523750000000005</v>
      </c>
      <c r="N306" s="72">
        <f t="shared" ca="1" si="111"/>
        <v>-7.3489687500000063</v>
      </c>
      <c r="O306" s="72">
        <f t="shared" ca="1" si="111"/>
        <v>-6.6771679687500143</v>
      </c>
      <c r="P306" s="72">
        <f t="shared" ca="1" si="111"/>
        <v>-11.573813407968771</v>
      </c>
      <c r="Q306" s="72">
        <f t="shared" ca="1" si="111"/>
        <v>-13.110954512167991</v>
      </c>
      <c r="R306" s="72">
        <f t="shared" ca="1" si="111"/>
        <v>-14.962365821312188</v>
      </c>
      <c r="S306" s="72">
        <f t="shared" ca="1" si="111"/>
        <v>-23.098701195217505</v>
      </c>
      <c r="T306" s="72">
        <f t="shared" ca="1" si="111"/>
        <v>-24.858912038951075</v>
      </c>
      <c r="U306" s="72">
        <f t="shared" ca="1" si="111"/>
        <v>-25.681680818283144</v>
      </c>
      <c r="V306" s="72">
        <f t="shared" ca="1" si="111"/>
        <v>-32.808121274361213</v>
      </c>
      <c r="W306" s="72">
        <f t="shared" ca="1" si="111"/>
        <v>-40.934496878198367</v>
      </c>
      <c r="X306" s="72">
        <f t="shared" ca="1" si="111"/>
        <v>-41.321209209371368</v>
      </c>
    </row>
    <row r="307" spans="2:24" hidden="1" outlineLevel="1">
      <c r="D307" s="28"/>
      <c r="I307" s="37" t="s">
        <v>180</v>
      </c>
      <c r="L307" s="11"/>
      <c r="M307" s="11"/>
      <c r="N307" s="11"/>
      <c r="O307" s="11"/>
      <c r="P307" s="11"/>
      <c r="Q307" s="11"/>
      <c r="R307" s="11"/>
      <c r="S307" s="11"/>
      <c r="T307" s="11"/>
      <c r="U307" s="11"/>
      <c r="V307" s="11"/>
      <c r="W307" s="11"/>
      <c r="X307" s="11"/>
    </row>
    <row r="308" spans="2:24" hidden="1" outlineLevel="1">
      <c r="D308" s="27" t="s">
        <v>181</v>
      </c>
      <c r="I308" s="1" t="str">
        <f ca="1">IF(ROUND(SUM(L308:X308),1)=0,Ok,Error)</f>
        <v>Ok</v>
      </c>
      <c r="L308" s="11">
        <f ca="1">L306-L304</f>
        <v>0</v>
      </c>
      <c r="M308" s="11">
        <f t="shared" ref="M308:X308" ca="1" si="112">M306-M304</f>
        <v>0</v>
      </c>
      <c r="N308" s="11">
        <f t="shared" ca="1" si="112"/>
        <v>0</v>
      </c>
      <c r="O308" s="11">
        <f t="shared" ca="1" si="112"/>
        <v>0</v>
      </c>
      <c r="P308" s="11">
        <f t="shared" ca="1" si="112"/>
        <v>0</v>
      </c>
      <c r="Q308" s="11">
        <f t="shared" ca="1" si="112"/>
        <v>0</v>
      </c>
      <c r="R308" s="11">
        <f t="shared" ca="1" si="112"/>
        <v>0</v>
      </c>
      <c r="S308" s="11">
        <f t="shared" ca="1" si="112"/>
        <v>0</v>
      </c>
      <c r="T308" s="11">
        <f t="shared" ca="1" si="112"/>
        <v>0</v>
      </c>
      <c r="U308" s="11">
        <f t="shared" ca="1" si="112"/>
        <v>0</v>
      </c>
      <c r="V308" s="11">
        <f t="shared" ca="1" si="112"/>
        <v>0</v>
      </c>
      <c r="W308" s="11">
        <f t="shared" ca="1" si="112"/>
        <v>0</v>
      </c>
      <c r="X308" s="11">
        <f t="shared" ca="1" si="112"/>
        <v>0</v>
      </c>
    </row>
    <row r="309" spans="2:24" collapsed="1"/>
    <row r="310" spans="2:24" s="7" customFormat="1" ht="12.75">
      <c r="B310" s="7" t="s">
        <v>182</v>
      </c>
    </row>
    <row r="311" spans="2:24" ht="4.5" customHeight="1"/>
    <row r="312" spans="2:24" s="29" customFormat="1" ht="12">
      <c r="C312" s="29" t="s">
        <v>183</v>
      </c>
    </row>
    <row r="313" spans="2:24" outlineLevel="1"/>
    <row r="314" spans="2:24" outlineLevel="1">
      <c r="D314" s="113" t="s">
        <v>184</v>
      </c>
      <c r="L314" s="12">
        <v>65</v>
      </c>
    </row>
    <row r="315" spans="2:24" outlineLevel="1">
      <c r="D315" s="113" t="s">
        <v>185</v>
      </c>
      <c r="L315" s="11">
        <f>L428</f>
        <v>100</v>
      </c>
    </row>
    <row r="316" spans="2:24" outlineLevel="1">
      <c r="D316" s="113" t="s">
        <v>186</v>
      </c>
      <c r="L316" s="57">
        <v>30</v>
      </c>
      <c r="M316" s="114">
        <v>1</v>
      </c>
    </row>
    <row r="317" spans="2:24" outlineLevel="1">
      <c r="D317" s="163" t="s">
        <v>187</v>
      </c>
      <c r="L317" s="22">
        <f>SUM(L314:L316)</f>
        <v>195</v>
      </c>
    </row>
    <row r="318" spans="2:24" outlineLevel="1">
      <c r="D318" s="27"/>
    </row>
    <row r="319" spans="2:24" outlineLevel="1">
      <c r="D319" s="113" t="s">
        <v>188</v>
      </c>
      <c r="L319" s="11">
        <f>L468</f>
        <v>50</v>
      </c>
    </row>
    <row r="320" spans="2:24" outlineLevel="1">
      <c r="D320" s="113" t="s">
        <v>189</v>
      </c>
      <c r="L320" s="11">
        <f>L276</f>
        <v>1.2</v>
      </c>
    </row>
    <row r="321" spans="4:13" outlineLevel="1">
      <c r="D321" s="113" t="s">
        <v>190</v>
      </c>
      <c r="L321" s="57">
        <v>25</v>
      </c>
      <c r="M321" s="114">
        <v>1</v>
      </c>
    </row>
    <row r="322" spans="4:13" outlineLevel="1">
      <c r="D322" s="163" t="s">
        <v>191</v>
      </c>
      <c r="L322" s="22">
        <f>SUM(L319:L321)</f>
        <v>76.2</v>
      </c>
    </row>
    <row r="323" spans="4:13" outlineLevel="1">
      <c r="D323" s="27"/>
      <c r="L323" s="11"/>
    </row>
    <row r="324" spans="4:13" outlineLevel="1">
      <c r="D324" s="25" t="s">
        <v>192</v>
      </c>
      <c r="L324" s="22">
        <f>L322+L317</f>
        <v>271.2</v>
      </c>
    </row>
    <row r="325" spans="4:13" outlineLevel="1"/>
    <row r="326" spans="4:13" outlineLevel="1">
      <c r="D326" s="113" t="s">
        <v>193</v>
      </c>
      <c r="L326" s="11">
        <f>L447</f>
        <v>20</v>
      </c>
    </row>
    <row r="327" spans="4:13" outlineLevel="1">
      <c r="D327" s="113" t="s">
        <v>194</v>
      </c>
      <c r="L327" s="11">
        <f>L506</f>
        <v>2</v>
      </c>
    </row>
    <row r="328" spans="4:13" outlineLevel="1">
      <c r="D328" s="113" t="s">
        <v>165</v>
      </c>
      <c r="L328" s="11">
        <f>L269</f>
        <v>2.2000000000000002</v>
      </c>
    </row>
    <row r="329" spans="4:13" outlineLevel="1">
      <c r="D329" s="113" t="str">
        <f>D529</f>
        <v>Opening Dividends Payable</v>
      </c>
      <c r="L329" s="11">
        <f>L529</f>
        <v>1.5</v>
      </c>
    </row>
    <row r="330" spans="4:13" outlineLevel="1">
      <c r="D330" s="113" t="s">
        <v>195</v>
      </c>
      <c r="L330" s="57">
        <v>3</v>
      </c>
      <c r="M330" s="114">
        <v>1</v>
      </c>
    </row>
    <row r="331" spans="4:13" outlineLevel="1">
      <c r="D331" s="163" t="s">
        <v>196</v>
      </c>
      <c r="L331" s="22">
        <f>SUM(L326:L330)</f>
        <v>28.7</v>
      </c>
    </row>
    <row r="332" spans="4:13" outlineLevel="1">
      <c r="D332" s="28"/>
      <c r="L332" s="11"/>
    </row>
    <row r="333" spans="4:13" outlineLevel="1">
      <c r="D333" s="113" t="s">
        <v>197</v>
      </c>
      <c r="L333" s="11">
        <f>L488</f>
        <v>15</v>
      </c>
    </row>
    <row r="334" spans="4:13" outlineLevel="1">
      <c r="D334" s="113" t="s">
        <v>198</v>
      </c>
      <c r="L334" s="11">
        <f>L287</f>
        <v>35</v>
      </c>
    </row>
    <row r="335" spans="4:13" outlineLevel="1">
      <c r="D335" s="113" t="s">
        <v>195</v>
      </c>
      <c r="L335" s="57">
        <v>0.8</v>
      </c>
      <c r="M335" s="114">
        <v>1</v>
      </c>
    </row>
    <row r="336" spans="4:13" outlineLevel="1">
      <c r="D336" s="163" t="s">
        <v>196</v>
      </c>
      <c r="L336" s="22">
        <f>SUM(L333:L335)</f>
        <v>50.8</v>
      </c>
    </row>
    <row r="337" spans="2:13" outlineLevel="1">
      <c r="D337" s="27"/>
    </row>
    <row r="338" spans="2:13" outlineLevel="1">
      <c r="D338" s="25" t="s">
        <v>199</v>
      </c>
      <c r="L338" s="22">
        <f>L336+L331</f>
        <v>79.5</v>
      </c>
    </row>
    <row r="339" spans="2:13" outlineLevel="1"/>
    <row r="340" spans="2:13" ht="12" outlineLevel="1" thickBot="1">
      <c r="D340" s="164" t="s">
        <v>200</v>
      </c>
      <c r="L340" s="58">
        <f>L324-L338</f>
        <v>191.7</v>
      </c>
    </row>
    <row r="341" spans="2:13" ht="12" outlineLevel="1" thickTop="1">
      <c r="D341" s="27"/>
      <c r="L341" s="67"/>
    </row>
    <row r="342" spans="2:13" outlineLevel="1">
      <c r="D342" s="101" t="str">
        <f>D523</f>
        <v>Opening Ordinary Equity</v>
      </c>
      <c r="L342" s="11">
        <f>L523</f>
        <v>40</v>
      </c>
    </row>
    <row r="343" spans="2:13" outlineLevel="1">
      <c r="D343" s="112" t="s">
        <v>201</v>
      </c>
      <c r="L343" s="11">
        <f>L340-L342-L344</f>
        <v>150.19999999999999</v>
      </c>
    </row>
    <row r="344" spans="2:13" outlineLevel="1">
      <c r="D344" s="112" t="s">
        <v>202</v>
      </c>
      <c r="L344" s="57">
        <v>1.5</v>
      </c>
      <c r="M344" s="114">
        <v>1</v>
      </c>
    </row>
    <row r="345" spans="2:13" outlineLevel="1"/>
    <row r="346" spans="2:13" ht="12" outlineLevel="1" thickBot="1">
      <c r="D346" s="164" t="s">
        <v>203</v>
      </c>
      <c r="L346" s="58">
        <f>SUM(L342:L345)</f>
        <v>191.7</v>
      </c>
    </row>
    <row r="347" spans="2:13" ht="12" outlineLevel="1" thickTop="1"/>
    <row r="348" spans="2:13" outlineLevel="1">
      <c r="C348" s="25" t="s">
        <v>204</v>
      </c>
    </row>
    <row r="349" spans="2:13" outlineLevel="1">
      <c r="C349" s="114">
        <v>1</v>
      </c>
      <c r="D349" s="112" t="s">
        <v>205</v>
      </c>
    </row>
    <row r="351" spans="2:13" s="7" customFormat="1" ht="12.75">
      <c r="B351" s="7" t="s">
        <v>206</v>
      </c>
    </row>
    <row r="352" spans="2:13" ht="4.5" customHeight="1"/>
    <row r="353" spans="3:24" s="29" customFormat="1" ht="12">
      <c r="C353" s="30" t="str">
        <f>B351</f>
        <v>Valuation</v>
      </c>
    </row>
    <row r="354" spans="3:24" ht="4.5" customHeight="1"/>
    <row r="355" spans="3:24" hidden="1" outlineLevel="1">
      <c r="C355" s="25" t="s">
        <v>207</v>
      </c>
    </row>
    <row r="356" spans="3:24" hidden="1" outlineLevel="1"/>
    <row r="357" spans="3:24" hidden="1" outlineLevel="1">
      <c r="D357" s="27" t="s">
        <v>208</v>
      </c>
      <c r="L357" s="87">
        <v>0.5</v>
      </c>
      <c r="M357" s="87">
        <v>0.5</v>
      </c>
      <c r="N357" s="87">
        <v>0.5</v>
      </c>
      <c r="O357" s="87">
        <v>0.5</v>
      </c>
      <c r="P357" s="87">
        <v>0.5</v>
      </c>
      <c r="Q357" s="87">
        <v>0.5</v>
      </c>
      <c r="R357" s="87">
        <v>0.5</v>
      </c>
      <c r="S357" s="87">
        <v>0.5</v>
      </c>
      <c r="T357" s="87">
        <v>0.5</v>
      </c>
      <c r="U357" s="87">
        <v>0.5</v>
      </c>
      <c r="V357" s="87">
        <v>0.5</v>
      </c>
      <c r="W357" s="87">
        <v>0.5</v>
      </c>
      <c r="X357" s="87">
        <v>0.5</v>
      </c>
    </row>
    <row r="358" spans="3:24" hidden="1" outlineLevel="1"/>
    <row r="359" spans="3:24" hidden="1" outlineLevel="1">
      <c r="D359" s="27" t="s">
        <v>209</v>
      </c>
      <c r="K359" s="84">
        <f>$L$11</f>
        <v>41091</v>
      </c>
      <c r="L359" s="85">
        <f>L$11+L$14*L357</f>
        <v>41273.5</v>
      </c>
      <c r="M359" s="85">
        <f t="shared" ref="M359:X359" si="113">M$11+M$14*M357</f>
        <v>41638.5</v>
      </c>
      <c r="N359" s="85">
        <f t="shared" si="113"/>
        <v>42003.5</v>
      </c>
      <c r="O359" s="85">
        <f t="shared" si="113"/>
        <v>42369</v>
      </c>
      <c r="P359" s="85">
        <f t="shared" si="113"/>
        <v>42734.5</v>
      </c>
      <c r="Q359" s="85">
        <f t="shared" si="113"/>
        <v>43099.5</v>
      </c>
      <c r="R359" s="85">
        <f t="shared" si="113"/>
        <v>43464.5</v>
      </c>
      <c r="S359" s="85">
        <f t="shared" si="113"/>
        <v>43830</v>
      </c>
      <c r="T359" s="85">
        <f t="shared" si="113"/>
        <v>44195.5</v>
      </c>
      <c r="U359" s="85">
        <f t="shared" si="113"/>
        <v>44560.5</v>
      </c>
      <c r="V359" s="85">
        <f t="shared" si="113"/>
        <v>44925.5</v>
      </c>
      <c r="W359" s="85">
        <f t="shared" si="113"/>
        <v>45291</v>
      </c>
      <c r="X359" s="85">
        <f t="shared" si="113"/>
        <v>45656.5</v>
      </c>
    </row>
    <row r="360" spans="3:24" hidden="1" outlineLevel="1">
      <c r="D360" s="27" t="s">
        <v>210</v>
      </c>
      <c r="K360" s="84">
        <f>$L$11</f>
        <v>41091</v>
      </c>
      <c r="L360" s="86">
        <f>L$12</f>
        <v>41455</v>
      </c>
      <c r="M360" s="86">
        <f t="shared" ref="M360:X360" si="114">M$12</f>
        <v>41820</v>
      </c>
      <c r="N360" s="86">
        <f t="shared" si="114"/>
        <v>42185</v>
      </c>
      <c r="O360" s="86">
        <f t="shared" si="114"/>
        <v>42551</v>
      </c>
      <c r="P360" s="86">
        <f t="shared" si="114"/>
        <v>42916</v>
      </c>
      <c r="Q360" s="86">
        <f t="shared" si="114"/>
        <v>43281</v>
      </c>
      <c r="R360" s="86">
        <f t="shared" si="114"/>
        <v>43646</v>
      </c>
      <c r="S360" s="86">
        <f t="shared" si="114"/>
        <v>44012</v>
      </c>
      <c r="T360" s="86">
        <f t="shared" si="114"/>
        <v>44377</v>
      </c>
      <c r="U360" s="86">
        <f t="shared" si="114"/>
        <v>44742</v>
      </c>
      <c r="V360" s="86">
        <f t="shared" si="114"/>
        <v>45107</v>
      </c>
      <c r="W360" s="86">
        <f t="shared" si="114"/>
        <v>45473</v>
      </c>
      <c r="X360" s="86">
        <f t="shared" si="114"/>
        <v>45838</v>
      </c>
    </row>
    <row r="361" spans="3:24" hidden="1" outlineLevel="1"/>
    <row r="362" spans="3:24" hidden="1" outlineLevel="1">
      <c r="D362" s="27" t="s">
        <v>211</v>
      </c>
      <c r="K362" s="23">
        <v>3</v>
      </c>
    </row>
    <row r="363" spans="3:24" hidden="1" outlineLevel="1">
      <c r="D363" s="27" t="s">
        <v>212</v>
      </c>
      <c r="K363" s="91">
        <v>0.1</v>
      </c>
    </row>
    <row r="364" spans="3:24" hidden="1" outlineLevel="1"/>
    <row r="365" spans="3:24" hidden="1" outlineLevel="1">
      <c r="D365" s="27" t="s">
        <v>213</v>
      </c>
      <c r="K365" s="140">
        <v>1</v>
      </c>
      <c r="L365" s="93">
        <f t="shared" ref="L365:X365" si="115">IF(L$20&gt;$K$370,0,K366/(1+$K$363)^(L$16*L357))</f>
        <v>0.95346258924559224</v>
      </c>
      <c r="M365" s="93">
        <f t="shared" si="115"/>
        <v>0.86678417204144742</v>
      </c>
      <c r="N365" s="93">
        <f t="shared" si="115"/>
        <v>0.78798561094677033</v>
      </c>
      <c r="O365" s="93">
        <f t="shared" si="115"/>
        <v>0.71635055540615489</v>
      </c>
      <c r="P365" s="93">
        <f t="shared" si="115"/>
        <v>0.65122777764195894</v>
      </c>
      <c r="Q365" s="93">
        <f t="shared" si="115"/>
        <v>0.59202525240178072</v>
      </c>
      <c r="R365" s="93">
        <f t="shared" si="115"/>
        <v>0.53820477491070962</v>
      </c>
      <c r="S365" s="93">
        <f t="shared" si="115"/>
        <v>0.48927706810064514</v>
      </c>
      <c r="T365" s="93">
        <f t="shared" si="115"/>
        <v>0.44479733463695009</v>
      </c>
      <c r="U365" s="93">
        <f t="shared" si="115"/>
        <v>0.40436121330631825</v>
      </c>
      <c r="V365" s="93">
        <f t="shared" si="115"/>
        <v>0.36760110300574378</v>
      </c>
      <c r="W365" s="93">
        <f t="shared" si="115"/>
        <v>0.33418282091431251</v>
      </c>
      <c r="X365" s="93">
        <f t="shared" si="115"/>
        <v>0</v>
      </c>
    </row>
    <row r="366" spans="3:24" hidden="1" outlineLevel="1">
      <c r="D366" s="27" t="s">
        <v>214</v>
      </c>
      <c r="K366" s="88">
        <f>K365</f>
        <v>1</v>
      </c>
      <c r="L366" s="92">
        <f t="shared" ref="L366:X366" si="116">IF(L$20&gt;$K$370,0,K366/(1+$K$363)^L$16)</f>
        <v>0.90909090909090906</v>
      </c>
      <c r="M366" s="93">
        <f t="shared" si="116"/>
        <v>0.82644628099173545</v>
      </c>
      <c r="N366" s="93">
        <f t="shared" si="116"/>
        <v>0.75131480090157765</v>
      </c>
      <c r="O366" s="93">
        <f t="shared" si="116"/>
        <v>0.68301345536507052</v>
      </c>
      <c r="P366" s="93">
        <f t="shared" si="116"/>
        <v>0.62092132305915493</v>
      </c>
      <c r="Q366" s="93">
        <f t="shared" si="116"/>
        <v>0.56447393005377711</v>
      </c>
      <c r="R366" s="93">
        <f t="shared" si="116"/>
        <v>0.51315811823070645</v>
      </c>
      <c r="S366" s="93">
        <f t="shared" si="116"/>
        <v>0.46650738020973309</v>
      </c>
      <c r="T366" s="93">
        <f t="shared" si="116"/>
        <v>0.42409761837248461</v>
      </c>
      <c r="U366" s="93">
        <f t="shared" si="116"/>
        <v>0.38554328942953142</v>
      </c>
      <c r="V366" s="93">
        <f t="shared" si="116"/>
        <v>0.35049389948139215</v>
      </c>
      <c r="W366" s="93">
        <f t="shared" si="116"/>
        <v>0.31863081771035645</v>
      </c>
      <c r="X366" s="93">
        <f t="shared" si="116"/>
        <v>0</v>
      </c>
    </row>
    <row r="367" spans="3:24" hidden="1" outlineLevel="1"/>
    <row r="368" spans="3:24" hidden="1" outlineLevel="1">
      <c r="C368" s="68" t="s">
        <v>215</v>
      </c>
    </row>
    <row r="369" spans="2:24" hidden="1" outlineLevel="1">
      <c r="C369" s="68"/>
    </row>
    <row r="370" spans="2:24" hidden="1" outlineLevel="1">
      <c r="C370" s="68"/>
      <c r="D370" s="27" t="s">
        <v>216</v>
      </c>
      <c r="K370" s="12">
        <v>12</v>
      </c>
      <c r="L370" s="97">
        <f ca="1">OFFSET(L$12,0,K370-1)</f>
        <v>45473</v>
      </c>
    </row>
    <row r="371" spans="2:24" hidden="1" outlineLevel="1">
      <c r="C371" s="68"/>
    </row>
    <row r="372" spans="2:24" hidden="1" outlineLevel="1">
      <c r="C372" s="68"/>
      <c r="D372" s="27" t="s">
        <v>217</v>
      </c>
      <c r="K372" s="98">
        <v>5</v>
      </c>
    </row>
    <row r="373" spans="2:24" hidden="1" outlineLevel="1">
      <c r="C373" s="81" t="s">
        <v>218</v>
      </c>
      <c r="D373" s="27" t="s">
        <v>219</v>
      </c>
      <c r="K373" s="11" t="e">
        <f ca="1">SUM(OFFSET(Stmnts!K340:K340,0,K370))</f>
        <v>#VALUE!</v>
      </c>
    </row>
    <row r="374" spans="2:24" hidden="1" outlineLevel="1">
      <c r="C374" s="68"/>
      <c r="D374" s="27" t="s">
        <v>220</v>
      </c>
      <c r="K374" s="18" t="e">
        <f ca="1">K372*K373</f>
        <v>#VALUE!</v>
      </c>
    </row>
    <row r="375" spans="2:24" hidden="1" outlineLevel="1">
      <c r="C375" s="68"/>
      <c r="D375" s="27"/>
    </row>
    <row r="376" spans="2:24" hidden="1" outlineLevel="1">
      <c r="C376" s="68"/>
      <c r="D376" s="27" t="s">
        <v>221</v>
      </c>
      <c r="K376" s="12">
        <v>50</v>
      </c>
    </row>
    <row r="377" spans="2:24" hidden="1" outlineLevel="1"/>
    <row r="378" spans="2:24" s="7" customFormat="1" ht="12.75" collapsed="1">
      <c r="B378" s="7" t="s">
        <v>222</v>
      </c>
    </row>
    <row r="379" spans="2:24" ht="4.5" customHeight="1"/>
    <row r="380" spans="2:24" s="29" customFormat="1" ht="12">
      <c r="C380" s="30" t="str">
        <f>C40</f>
        <v>Revenues</v>
      </c>
    </row>
    <row r="381" spans="2:24" hidden="1" outlineLevel="2"/>
    <row r="382" spans="2:24" hidden="1" outlineLevel="2">
      <c r="D382" s="28" t="str">
        <f t="shared" ref="D382:D387" si="117">D44</f>
        <v>Revenue Category 1</v>
      </c>
      <c r="L382" s="11">
        <f t="shared" ref="L382:X382" si="118">L44</f>
        <v>20</v>
      </c>
      <c r="M382" s="11">
        <f t="shared" si="118"/>
        <v>21.200000000000003</v>
      </c>
      <c r="N382" s="11">
        <f t="shared" si="118"/>
        <v>22.472000000000005</v>
      </c>
      <c r="O382" s="11">
        <f t="shared" si="118"/>
        <v>23.820320000000006</v>
      </c>
      <c r="P382" s="11">
        <f t="shared" si="118"/>
        <v>25.249539200000008</v>
      </c>
      <c r="Q382" s="11">
        <f t="shared" si="118"/>
        <v>26.764511552000009</v>
      </c>
      <c r="R382" s="11">
        <f t="shared" si="118"/>
        <v>28.370382245120012</v>
      </c>
      <c r="S382" s="11">
        <f t="shared" si="118"/>
        <v>30.072605179827214</v>
      </c>
      <c r="T382" s="11">
        <f t="shared" si="118"/>
        <v>31.87696149061685</v>
      </c>
      <c r="U382" s="11">
        <f t="shared" si="118"/>
        <v>33.789579180053863</v>
      </c>
      <c r="V382" s="11">
        <f t="shared" si="118"/>
        <v>35.816953930857096</v>
      </c>
      <c r="W382" s="11">
        <f t="shared" si="118"/>
        <v>37.96597116670852</v>
      </c>
      <c r="X382" s="11">
        <f t="shared" si="118"/>
        <v>40.243929436711035</v>
      </c>
    </row>
    <row r="383" spans="2:24" hidden="1" outlineLevel="2">
      <c r="D383" s="28" t="str">
        <f t="shared" si="117"/>
        <v>Revenue Category 2</v>
      </c>
      <c r="L383" s="11">
        <f t="shared" ref="L383:X383" si="119">L45</f>
        <v>20</v>
      </c>
      <c r="M383" s="11">
        <f t="shared" si="119"/>
        <v>21.400000000000002</v>
      </c>
      <c r="N383" s="11">
        <f t="shared" si="119"/>
        <v>22.898000000000003</v>
      </c>
      <c r="O383" s="11">
        <f t="shared" si="119"/>
        <v>24.500860000000007</v>
      </c>
      <c r="P383" s="11">
        <f t="shared" si="119"/>
        <v>26.21592020000001</v>
      </c>
      <c r="Q383" s="11">
        <f t="shared" si="119"/>
        <v>28.051034614000013</v>
      </c>
      <c r="R383" s="11">
        <f t="shared" si="119"/>
        <v>30.014607036980017</v>
      </c>
      <c r="S383" s="11">
        <f t="shared" si="119"/>
        <v>32.115629529568622</v>
      </c>
      <c r="T383" s="11">
        <f t="shared" si="119"/>
        <v>34.36372359663843</v>
      </c>
      <c r="U383" s="11">
        <f t="shared" si="119"/>
        <v>36.769184248403121</v>
      </c>
      <c r="V383" s="11">
        <f t="shared" si="119"/>
        <v>39.343027145791339</v>
      </c>
      <c r="W383" s="11">
        <f t="shared" si="119"/>
        <v>42.097039045996738</v>
      </c>
      <c r="X383" s="11">
        <f t="shared" si="119"/>
        <v>45.043831779216511</v>
      </c>
    </row>
    <row r="384" spans="2:24" hidden="1" outlineLevel="2">
      <c r="D384" s="28" t="str">
        <f t="shared" si="117"/>
        <v>Revenue Category 3</v>
      </c>
      <c r="L384" s="11">
        <f t="shared" ref="L384:X384" si="120">L46</f>
        <v>20</v>
      </c>
      <c r="M384" s="11">
        <f t="shared" si="120"/>
        <v>21.6</v>
      </c>
      <c r="N384" s="11">
        <f t="shared" si="120"/>
        <v>23.328000000000003</v>
      </c>
      <c r="O384" s="11">
        <f t="shared" si="120"/>
        <v>25.194240000000004</v>
      </c>
      <c r="P384" s="11">
        <f t="shared" si="120"/>
        <v>27.209779200000007</v>
      </c>
      <c r="Q384" s="11">
        <f t="shared" si="120"/>
        <v>29.386561536000009</v>
      </c>
      <c r="R384" s="11">
        <f t="shared" si="120"/>
        <v>31.737486458880014</v>
      </c>
      <c r="S384" s="11">
        <f t="shared" si="120"/>
        <v>34.276485375590418</v>
      </c>
      <c r="T384" s="11">
        <f t="shared" si="120"/>
        <v>37.018604205637658</v>
      </c>
      <c r="U384" s="11">
        <f t="shared" si="120"/>
        <v>39.98009254208867</v>
      </c>
      <c r="V384" s="11">
        <f t="shared" si="120"/>
        <v>43.178499945455769</v>
      </c>
      <c r="W384" s="11">
        <f t="shared" si="120"/>
        <v>46.632779941092231</v>
      </c>
      <c r="X384" s="11">
        <f t="shared" si="120"/>
        <v>50.363402336379615</v>
      </c>
    </row>
    <row r="385" spans="3:24" hidden="1" outlineLevel="2">
      <c r="D385" s="28" t="str">
        <f t="shared" si="117"/>
        <v>Revenue Category 4</v>
      </c>
      <c r="L385" s="11">
        <f t="shared" ref="L385:X385" si="121">L47</f>
        <v>20</v>
      </c>
      <c r="M385" s="11">
        <f t="shared" si="121"/>
        <v>21.8</v>
      </c>
      <c r="N385" s="11">
        <f t="shared" si="121"/>
        <v>23.762000000000004</v>
      </c>
      <c r="O385" s="11">
        <f t="shared" si="121"/>
        <v>25.900580000000005</v>
      </c>
      <c r="P385" s="11">
        <f t="shared" si="121"/>
        <v>28.231632200000007</v>
      </c>
      <c r="Q385" s="11">
        <f t="shared" si="121"/>
        <v>30.772479098000009</v>
      </c>
      <c r="R385" s="11">
        <f t="shared" si="121"/>
        <v>33.542002216820009</v>
      </c>
      <c r="S385" s="11">
        <f t="shared" si="121"/>
        <v>36.560782416333815</v>
      </c>
      <c r="T385" s="11">
        <f t="shared" si="121"/>
        <v>39.851252833803862</v>
      </c>
      <c r="U385" s="11">
        <f t="shared" si="121"/>
        <v>43.437865588846215</v>
      </c>
      <c r="V385" s="11">
        <f t="shared" si="121"/>
        <v>47.34727349184238</v>
      </c>
      <c r="W385" s="11">
        <f t="shared" si="121"/>
        <v>51.608528106108196</v>
      </c>
      <c r="X385" s="11">
        <f t="shared" si="121"/>
        <v>56.253295635657935</v>
      </c>
    </row>
    <row r="386" spans="3:24" hidden="1" outlineLevel="2">
      <c r="D386" s="28" t="str">
        <f t="shared" si="117"/>
        <v>Revenue Category 5</v>
      </c>
      <c r="L386" s="11">
        <f t="shared" ref="L386:X386" si="122">L48</f>
        <v>20</v>
      </c>
      <c r="M386" s="11">
        <f t="shared" si="122"/>
        <v>22</v>
      </c>
      <c r="N386" s="11">
        <f t="shared" si="122"/>
        <v>24.200000000000003</v>
      </c>
      <c r="O386" s="11">
        <f t="shared" si="122"/>
        <v>26.620000000000005</v>
      </c>
      <c r="P386" s="11">
        <f t="shared" si="122"/>
        <v>29.282000000000007</v>
      </c>
      <c r="Q386" s="11">
        <f t="shared" si="122"/>
        <v>32.210200000000007</v>
      </c>
      <c r="R386" s="11">
        <f t="shared" si="122"/>
        <v>35.43122000000001</v>
      </c>
      <c r="S386" s="11">
        <f t="shared" si="122"/>
        <v>38.974342000000014</v>
      </c>
      <c r="T386" s="11">
        <f t="shared" si="122"/>
        <v>42.871776200000021</v>
      </c>
      <c r="U386" s="11">
        <f t="shared" si="122"/>
        <v>47.158953820000029</v>
      </c>
      <c r="V386" s="11">
        <f t="shared" si="122"/>
        <v>51.874849202000036</v>
      </c>
      <c r="W386" s="11">
        <f t="shared" si="122"/>
        <v>57.062334122200042</v>
      </c>
      <c r="X386" s="11">
        <f t="shared" si="122"/>
        <v>62.76856753442005</v>
      </c>
    </row>
    <row r="387" spans="3:24" hidden="1" outlineLevel="2">
      <c r="D387" s="28" t="str">
        <f t="shared" si="117"/>
        <v>Sub Total</v>
      </c>
      <c r="L387" s="18">
        <f>SUM(L382:L386)</f>
        <v>100</v>
      </c>
      <c r="M387" s="18">
        <f t="shared" ref="M387:X387" si="123">SUM(M382:M386)</f>
        <v>108.00000000000001</v>
      </c>
      <c r="N387" s="18">
        <f t="shared" si="123"/>
        <v>116.66000000000001</v>
      </c>
      <c r="O387" s="18">
        <f t="shared" si="123"/>
        <v>126.03600000000003</v>
      </c>
      <c r="P387" s="18">
        <f t="shared" si="123"/>
        <v>136.18887080000005</v>
      </c>
      <c r="Q387" s="18">
        <f t="shared" si="123"/>
        <v>147.18478680000004</v>
      </c>
      <c r="R387" s="18">
        <f t="shared" si="123"/>
        <v>159.09569795780004</v>
      </c>
      <c r="S387" s="18">
        <f t="shared" si="123"/>
        <v>171.99984450132007</v>
      </c>
      <c r="T387" s="18">
        <f t="shared" si="123"/>
        <v>185.98231832669683</v>
      </c>
      <c r="U387" s="18">
        <f t="shared" si="123"/>
        <v>201.1356753793919</v>
      </c>
      <c r="V387" s="18">
        <f t="shared" si="123"/>
        <v>217.56060371594663</v>
      </c>
      <c r="W387" s="18">
        <f t="shared" si="123"/>
        <v>235.36665238210571</v>
      </c>
      <c r="X387" s="18">
        <f t="shared" si="123"/>
        <v>254.67302672238515</v>
      </c>
    </row>
    <row r="388" spans="3:24" hidden="1" outlineLevel="2"/>
    <row r="389" spans="3:24" hidden="1" outlineLevel="2">
      <c r="D389" s="26" t="str">
        <f>D51</f>
        <v>Total Revenue</v>
      </c>
      <c r="L389" s="61">
        <f>L387</f>
        <v>100</v>
      </c>
      <c r="M389" s="61">
        <f t="shared" ref="M389:X389" si="124">M387</f>
        <v>108.00000000000001</v>
      </c>
      <c r="N389" s="61">
        <f t="shared" si="124"/>
        <v>116.66000000000001</v>
      </c>
      <c r="O389" s="61">
        <f t="shared" si="124"/>
        <v>126.03600000000003</v>
      </c>
      <c r="P389" s="61">
        <f t="shared" si="124"/>
        <v>136.18887080000005</v>
      </c>
      <c r="Q389" s="61">
        <f t="shared" si="124"/>
        <v>147.18478680000004</v>
      </c>
      <c r="R389" s="61">
        <f t="shared" si="124"/>
        <v>159.09569795780004</v>
      </c>
      <c r="S389" s="61">
        <f t="shared" si="124"/>
        <v>171.99984450132007</v>
      </c>
      <c r="T389" s="61">
        <f t="shared" si="124"/>
        <v>185.98231832669683</v>
      </c>
      <c r="U389" s="61">
        <f t="shared" si="124"/>
        <v>201.1356753793919</v>
      </c>
      <c r="V389" s="61">
        <f t="shared" si="124"/>
        <v>217.56060371594663</v>
      </c>
      <c r="W389" s="61">
        <f t="shared" si="124"/>
        <v>235.36665238210571</v>
      </c>
      <c r="X389" s="61">
        <f t="shared" si="124"/>
        <v>254.67302672238515</v>
      </c>
    </row>
    <row r="390" spans="3:24" collapsed="1"/>
    <row r="391" spans="3:24" s="29" customFormat="1" ht="12">
      <c r="C391" s="30" t="str">
        <f>C53</f>
        <v>Cost of Sales</v>
      </c>
    </row>
    <row r="392" spans="3:24" hidden="1" outlineLevel="2"/>
    <row r="393" spans="3:24" hidden="1" outlineLevel="2">
      <c r="D393" s="28" t="str">
        <f t="shared" ref="D393:D398" si="125">D56</f>
        <v>Cost of Sales Category 1</v>
      </c>
      <c r="L393" s="11">
        <f t="shared" ref="L393:X393" si="126">L56</f>
        <v>10.25</v>
      </c>
      <c r="M393" s="11">
        <f t="shared" si="126"/>
        <v>10.50625</v>
      </c>
      <c r="N393" s="11">
        <f t="shared" si="126"/>
        <v>10.768906249999999</v>
      </c>
      <c r="O393" s="11">
        <f t="shared" si="126"/>
        <v>11.038128906249998</v>
      </c>
      <c r="P393" s="11">
        <f t="shared" si="126"/>
        <v>11.314082128906247</v>
      </c>
      <c r="Q393" s="11">
        <f t="shared" si="126"/>
        <v>11.596934182128901</v>
      </c>
      <c r="R393" s="11">
        <f t="shared" si="126"/>
        <v>11.886857536682124</v>
      </c>
      <c r="S393" s="11">
        <f t="shared" si="126"/>
        <v>12.184028975099176</v>
      </c>
      <c r="T393" s="11">
        <f t="shared" si="126"/>
        <v>12.488629699476654</v>
      </c>
      <c r="U393" s="11">
        <f t="shared" si="126"/>
        <v>12.800845441963569</v>
      </c>
      <c r="V393" s="11">
        <f t="shared" si="126"/>
        <v>13.120866578012656</v>
      </c>
      <c r="W393" s="11">
        <f t="shared" si="126"/>
        <v>13.448888242462971</v>
      </c>
      <c r="X393" s="11">
        <f t="shared" si="126"/>
        <v>13.785110448524543</v>
      </c>
    </row>
    <row r="394" spans="3:24" hidden="1" outlineLevel="2">
      <c r="D394" s="28" t="str">
        <f t="shared" si="125"/>
        <v>Cost of Sales Category 2</v>
      </c>
      <c r="L394" s="11">
        <f t="shared" ref="L394:X394" si="127">L57</f>
        <v>11.274999999999999</v>
      </c>
      <c r="M394" s="11">
        <f t="shared" si="127"/>
        <v>11.556874999999998</v>
      </c>
      <c r="N394" s="11">
        <f t="shared" si="127"/>
        <v>11.845796874999998</v>
      </c>
      <c r="O394" s="11">
        <f t="shared" si="127"/>
        <v>12.141941796874997</v>
      </c>
      <c r="P394" s="11">
        <f t="shared" si="127"/>
        <v>12.445490341796871</v>
      </c>
      <c r="Q394" s="11">
        <f t="shared" si="127"/>
        <v>12.756627600341792</v>
      </c>
      <c r="R394" s="11">
        <f t="shared" si="127"/>
        <v>13.075543290350335</v>
      </c>
      <c r="S394" s="11">
        <f t="shared" si="127"/>
        <v>13.402431872609093</v>
      </c>
      <c r="T394" s="11">
        <f t="shared" si="127"/>
        <v>13.737492669424318</v>
      </c>
      <c r="U394" s="11">
        <f t="shared" si="127"/>
        <v>14.080929986159925</v>
      </c>
      <c r="V394" s="11">
        <f t="shared" si="127"/>
        <v>14.432953235813921</v>
      </c>
      <c r="W394" s="11">
        <f t="shared" si="127"/>
        <v>14.793777066709268</v>
      </c>
      <c r="X394" s="11">
        <f t="shared" si="127"/>
        <v>15.163621493376999</v>
      </c>
    </row>
    <row r="395" spans="3:24" hidden="1" outlineLevel="2">
      <c r="D395" s="28" t="str">
        <f t="shared" si="125"/>
        <v>Cost of Sales Category 3</v>
      </c>
      <c r="L395" s="11">
        <f t="shared" ref="L395:X395" si="128">L58</f>
        <v>12.299999999999999</v>
      </c>
      <c r="M395" s="11">
        <f t="shared" si="128"/>
        <v>12.607499999999998</v>
      </c>
      <c r="N395" s="11">
        <f t="shared" si="128"/>
        <v>12.922687499999997</v>
      </c>
      <c r="O395" s="11">
        <f t="shared" si="128"/>
        <v>13.245754687499996</v>
      </c>
      <c r="P395" s="11">
        <f t="shared" si="128"/>
        <v>13.576898554687496</v>
      </c>
      <c r="Q395" s="11">
        <f t="shared" si="128"/>
        <v>13.916321018554681</v>
      </c>
      <c r="R395" s="11">
        <f t="shared" si="128"/>
        <v>14.264229044018547</v>
      </c>
      <c r="S395" s="11">
        <f t="shared" si="128"/>
        <v>14.620834770119009</v>
      </c>
      <c r="T395" s="11">
        <f t="shared" si="128"/>
        <v>14.986355639371983</v>
      </c>
      <c r="U395" s="11">
        <f t="shared" si="128"/>
        <v>15.361014530356281</v>
      </c>
      <c r="V395" s="11">
        <f t="shared" si="128"/>
        <v>15.745039893615186</v>
      </c>
      <c r="W395" s="11">
        <f t="shared" si="128"/>
        <v>16.138665890955565</v>
      </c>
      <c r="X395" s="11">
        <f t="shared" si="128"/>
        <v>16.542132538229453</v>
      </c>
    </row>
    <row r="396" spans="3:24" hidden="1" outlineLevel="2">
      <c r="D396" s="28" t="str">
        <f t="shared" si="125"/>
        <v>Cost of Sales Category 4</v>
      </c>
      <c r="L396" s="11">
        <f t="shared" ref="L396:X396" si="129">L59</f>
        <v>13.324999999999999</v>
      </c>
      <c r="M396" s="11">
        <f t="shared" si="129"/>
        <v>13.658124999999998</v>
      </c>
      <c r="N396" s="11">
        <f t="shared" si="129"/>
        <v>13.999578124999998</v>
      </c>
      <c r="O396" s="11">
        <f t="shared" si="129"/>
        <v>14.349567578124995</v>
      </c>
      <c r="P396" s="11">
        <f t="shared" si="129"/>
        <v>14.708306767578119</v>
      </c>
      <c r="Q396" s="11">
        <f t="shared" si="129"/>
        <v>15.07601443676757</v>
      </c>
      <c r="R396" s="11">
        <f t="shared" si="129"/>
        <v>15.452914797686759</v>
      </c>
      <c r="S396" s="11">
        <f t="shared" si="129"/>
        <v>15.839237667628927</v>
      </c>
      <c r="T396" s="11">
        <f t="shared" si="129"/>
        <v>16.235218609319649</v>
      </c>
      <c r="U396" s="11">
        <f t="shared" si="129"/>
        <v>16.641099074552638</v>
      </c>
      <c r="V396" s="11">
        <f t="shared" si="129"/>
        <v>17.057126551416452</v>
      </c>
      <c r="W396" s="11">
        <f t="shared" si="129"/>
        <v>17.483554715201862</v>
      </c>
      <c r="X396" s="11">
        <f t="shared" si="129"/>
        <v>17.920643583081908</v>
      </c>
    </row>
    <row r="397" spans="3:24" hidden="1" outlineLevel="2">
      <c r="D397" s="28" t="str">
        <f t="shared" si="125"/>
        <v>Cost of Sales Category 5</v>
      </c>
      <c r="L397" s="11">
        <f t="shared" ref="L397:X397" si="130">L60</f>
        <v>14.349999999999998</v>
      </c>
      <c r="M397" s="11">
        <f t="shared" si="130"/>
        <v>14.708749999999997</v>
      </c>
      <c r="N397" s="11">
        <f t="shared" si="130"/>
        <v>15.076468749999995</v>
      </c>
      <c r="O397" s="11">
        <f t="shared" si="130"/>
        <v>15.453380468749993</v>
      </c>
      <c r="P397" s="11">
        <f t="shared" si="130"/>
        <v>15.839714980468742</v>
      </c>
      <c r="Q397" s="11">
        <f t="shared" si="130"/>
        <v>16.235707854980458</v>
      </c>
      <c r="R397" s="11">
        <f t="shared" si="130"/>
        <v>16.641600551354969</v>
      </c>
      <c r="S397" s="11">
        <f t="shared" si="130"/>
        <v>17.057640565138843</v>
      </c>
      <c r="T397" s="11">
        <f t="shared" si="130"/>
        <v>17.484081579267311</v>
      </c>
      <c r="U397" s="11">
        <f t="shared" si="130"/>
        <v>17.921183618748991</v>
      </c>
      <c r="V397" s="11">
        <f t="shared" si="130"/>
        <v>18.369213209217715</v>
      </c>
      <c r="W397" s="11">
        <f t="shared" si="130"/>
        <v>18.828443539448156</v>
      </c>
      <c r="X397" s="11">
        <f t="shared" si="130"/>
        <v>19.299154627934357</v>
      </c>
    </row>
    <row r="398" spans="3:24" hidden="1" outlineLevel="2">
      <c r="D398" s="28" t="str">
        <f t="shared" si="125"/>
        <v>Sub Total</v>
      </c>
      <c r="L398" s="18">
        <f>SUM(L393:L397)</f>
        <v>61.499999999999986</v>
      </c>
      <c r="M398" s="18">
        <f t="shared" ref="M398:X398" si="131">SUM(M393:M397)</f>
        <v>63.037499999999994</v>
      </c>
      <c r="N398" s="18">
        <f t="shared" si="131"/>
        <v>64.613437499999989</v>
      </c>
      <c r="O398" s="18">
        <f t="shared" si="131"/>
        <v>66.228773437499981</v>
      </c>
      <c r="P398" s="18">
        <f t="shared" si="131"/>
        <v>67.884492773437472</v>
      </c>
      <c r="Q398" s="18">
        <f t="shared" si="131"/>
        <v>69.581605092773401</v>
      </c>
      <c r="R398" s="18">
        <f t="shared" si="131"/>
        <v>71.321145220092745</v>
      </c>
      <c r="S398" s="18">
        <f t="shared" si="131"/>
        <v>73.104173850595046</v>
      </c>
      <c r="T398" s="18">
        <f t="shared" si="131"/>
        <v>74.931778196859909</v>
      </c>
      <c r="U398" s="18">
        <f t="shared" si="131"/>
        <v>76.805072651781416</v>
      </c>
      <c r="V398" s="18">
        <f t="shared" si="131"/>
        <v>78.725199468075928</v>
      </c>
      <c r="W398" s="18">
        <f t="shared" si="131"/>
        <v>80.693329454777825</v>
      </c>
      <c r="X398" s="18">
        <f t="shared" si="131"/>
        <v>82.710662691147263</v>
      </c>
    </row>
    <row r="399" spans="3:24" hidden="1" outlineLevel="2"/>
    <row r="400" spans="3:24" hidden="1" outlineLevel="2">
      <c r="D400" s="26" t="str">
        <f>D70</f>
        <v>Total Cost of Sales</v>
      </c>
      <c r="L400" s="61">
        <f>L398</f>
        <v>61.499999999999986</v>
      </c>
      <c r="M400" s="61">
        <f t="shared" ref="M400:X400" si="132">M398</f>
        <v>63.037499999999994</v>
      </c>
      <c r="N400" s="61">
        <f t="shared" si="132"/>
        <v>64.613437499999989</v>
      </c>
      <c r="O400" s="61">
        <f t="shared" si="132"/>
        <v>66.228773437499981</v>
      </c>
      <c r="P400" s="61">
        <f t="shared" si="132"/>
        <v>67.884492773437472</v>
      </c>
      <c r="Q400" s="61">
        <f t="shared" si="132"/>
        <v>69.581605092773401</v>
      </c>
      <c r="R400" s="61">
        <f t="shared" si="132"/>
        <v>71.321145220092745</v>
      </c>
      <c r="S400" s="61">
        <f t="shared" si="132"/>
        <v>73.104173850595046</v>
      </c>
      <c r="T400" s="61">
        <f t="shared" si="132"/>
        <v>74.931778196859909</v>
      </c>
      <c r="U400" s="61">
        <f t="shared" si="132"/>
        <v>76.805072651781416</v>
      </c>
      <c r="V400" s="61">
        <f t="shared" si="132"/>
        <v>78.725199468075928</v>
      </c>
      <c r="W400" s="61">
        <f t="shared" si="132"/>
        <v>80.693329454777825</v>
      </c>
      <c r="X400" s="61">
        <f t="shared" si="132"/>
        <v>82.710662691147263</v>
      </c>
    </row>
    <row r="401" spans="3:24" collapsed="1"/>
    <row r="402" spans="3:24" s="29" customFormat="1" ht="12">
      <c r="C402" s="30" t="str">
        <f>C72</f>
        <v>Operating Expenditure</v>
      </c>
    </row>
    <row r="403" spans="3:24" hidden="1" outlineLevel="2"/>
    <row r="404" spans="3:24" hidden="1" outlineLevel="2">
      <c r="D404" s="28" t="str">
        <f t="shared" ref="D404:D409" si="133">D75</f>
        <v>Expense Category 1</v>
      </c>
      <c r="L404" s="11">
        <f t="shared" ref="L404:X404" si="134">L75</f>
        <v>0</v>
      </c>
      <c r="M404" s="11">
        <f t="shared" si="134"/>
        <v>0</v>
      </c>
      <c r="N404" s="11">
        <f t="shared" si="134"/>
        <v>10</v>
      </c>
      <c r="O404" s="11">
        <f t="shared" si="134"/>
        <v>0</v>
      </c>
      <c r="P404" s="11">
        <f t="shared" si="134"/>
        <v>10</v>
      </c>
      <c r="Q404" s="11">
        <f t="shared" si="134"/>
        <v>0</v>
      </c>
      <c r="R404" s="11">
        <f t="shared" si="134"/>
        <v>10</v>
      </c>
      <c r="S404" s="11">
        <f t="shared" si="134"/>
        <v>0</v>
      </c>
      <c r="T404" s="11">
        <f t="shared" si="134"/>
        <v>10</v>
      </c>
      <c r="U404" s="11">
        <f t="shared" si="134"/>
        <v>0</v>
      </c>
      <c r="V404" s="11">
        <f t="shared" si="134"/>
        <v>10</v>
      </c>
      <c r="W404" s="11">
        <f t="shared" si="134"/>
        <v>0</v>
      </c>
      <c r="X404" s="11">
        <f t="shared" si="134"/>
        <v>10</v>
      </c>
    </row>
    <row r="405" spans="3:24" hidden="1" outlineLevel="2">
      <c r="D405" s="28" t="str">
        <f t="shared" si="133"/>
        <v>Expense Category 2</v>
      </c>
      <c r="L405" s="11">
        <f t="shared" ref="L405:X405" si="135">L76</f>
        <v>6</v>
      </c>
      <c r="M405" s="11">
        <f t="shared" si="135"/>
        <v>0</v>
      </c>
      <c r="N405" s="11">
        <f t="shared" si="135"/>
        <v>0</v>
      </c>
      <c r="O405" s="11">
        <f t="shared" si="135"/>
        <v>6</v>
      </c>
      <c r="P405" s="11">
        <f t="shared" si="135"/>
        <v>0</v>
      </c>
      <c r="Q405" s="11">
        <f t="shared" si="135"/>
        <v>0</v>
      </c>
      <c r="R405" s="11">
        <f t="shared" si="135"/>
        <v>6</v>
      </c>
      <c r="S405" s="11">
        <f t="shared" si="135"/>
        <v>0</v>
      </c>
      <c r="T405" s="11">
        <f t="shared" si="135"/>
        <v>0</v>
      </c>
      <c r="U405" s="11">
        <f t="shared" si="135"/>
        <v>6</v>
      </c>
      <c r="V405" s="11">
        <f t="shared" si="135"/>
        <v>0</v>
      </c>
      <c r="W405" s="11">
        <f t="shared" si="135"/>
        <v>0</v>
      </c>
      <c r="X405" s="11">
        <f t="shared" si="135"/>
        <v>6</v>
      </c>
    </row>
    <row r="406" spans="3:24" hidden="1" outlineLevel="2">
      <c r="D406" s="28" t="str">
        <f t="shared" si="133"/>
        <v>Expense Category 3</v>
      </c>
      <c r="L406" s="11">
        <f t="shared" ref="L406:X406" si="136">L77</f>
        <v>0</v>
      </c>
      <c r="M406" s="11">
        <f t="shared" si="136"/>
        <v>12</v>
      </c>
      <c r="N406" s="11">
        <f t="shared" si="136"/>
        <v>0</v>
      </c>
      <c r="O406" s="11">
        <f t="shared" si="136"/>
        <v>0</v>
      </c>
      <c r="P406" s="11">
        <f t="shared" si="136"/>
        <v>0</v>
      </c>
      <c r="Q406" s="11">
        <f t="shared" si="136"/>
        <v>12</v>
      </c>
      <c r="R406" s="11">
        <f t="shared" si="136"/>
        <v>0</v>
      </c>
      <c r="S406" s="11">
        <f t="shared" si="136"/>
        <v>0</v>
      </c>
      <c r="T406" s="11">
        <f t="shared" si="136"/>
        <v>0</v>
      </c>
      <c r="U406" s="11">
        <f t="shared" si="136"/>
        <v>12</v>
      </c>
      <c r="V406" s="11">
        <f t="shared" si="136"/>
        <v>0</v>
      </c>
      <c r="W406" s="11">
        <f t="shared" si="136"/>
        <v>0</v>
      </c>
      <c r="X406" s="11">
        <f t="shared" si="136"/>
        <v>0</v>
      </c>
    </row>
    <row r="407" spans="3:24" hidden="1" outlineLevel="2">
      <c r="D407" s="28" t="str">
        <f t="shared" si="133"/>
        <v>Expense Category 4</v>
      </c>
      <c r="L407" s="11">
        <f t="shared" ref="L407:X407" si="137">L78</f>
        <v>0</v>
      </c>
      <c r="M407" s="11">
        <f t="shared" si="137"/>
        <v>0</v>
      </c>
      <c r="N407" s="11">
        <f t="shared" si="137"/>
        <v>13</v>
      </c>
      <c r="O407" s="11">
        <f t="shared" si="137"/>
        <v>13</v>
      </c>
      <c r="P407" s="11">
        <f t="shared" si="137"/>
        <v>13</v>
      </c>
      <c r="Q407" s="11">
        <f t="shared" si="137"/>
        <v>13</v>
      </c>
      <c r="R407" s="11">
        <f t="shared" si="137"/>
        <v>13</v>
      </c>
      <c r="S407" s="11">
        <f t="shared" si="137"/>
        <v>13</v>
      </c>
      <c r="T407" s="11">
        <f t="shared" si="137"/>
        <v>13</v>
      </c>
      <c r="U407" s="11">
        <f t="shared" si="137"/>
        <v>13</v>
      </c>
      <c r="V407" s="11">
        <f t="shared" si="137"/>
        <v>13</v>
      </c>
      <c r="W407" s="11">
        <f t="shared" si="137"/>
        <v>13</v>
      </c>
      <c r="X407" s="11">
        <f t="shared" si="137"/>
        <v>13</v>
      </c>
    </row>
    <row r="408" spans="3:24" hidden="1" outlineLevel="2">
      <c r="D408" s="28" t="str">
        <f t="shared" si="133"/>
        <v>Expense Category 5</v>
      </c>
      <c r="L408" s="11">
        <f t="shared" ref="L408:X408" si="138">L79</f>
        <v>0</v>
      </c>
      <c r="M408" s="11">
        <f t="shared" si="138"/>
        <v>0</v>
      </c>
      <c r="N408" s="11">
        <f t="shared" si="138"/>
        <v>0</v>
      </c>
      <c r="O408" s="11">
        <f t="shared" si="138"/>
        <v>14</v>
      </c>
      <c r="P408" s="11">
        <f t="shared" si="138"/>
        <v>0</v>
      </c>
      <c r="Q408" s="11">
        <f t="shared" si="138"/>
        <v>0</v>
      </c>
      <c r="R408" s="11">
        <f t="shared" si="138"/>
        <v>0</v>
      </c>
      <c r="S408" s="11">
        <f t="shared" si="138"/>
        <v>0</v>
      </c>
      <c r="T408" s="11">
        <f t="shared" si="138"/>
        <v>0</v>
      </c>
      <c r="U408" s="11">
        <f t="shared" si="138"/>
        <v>0</v>
      </c>
      <c r="V408" s="11">
        <f t="shared" si="138"/>
        <v>0</v>
      </c>
      <c r="W408" s="11">
        <f t="shared" si="138"/>
        <v>0</v>
      </c>
      <c r="X408" s="11">
        <f t="shared" si="138"/>
        <v>0</v>
      </c>
    </row>
    <row r="409" spans="3:24" hidden="1" outlineLevel="2">
      <c r="D409" s="28" t="str">
        <f t="shared" si="133"/>
        <v>Sub Total</v>
      </c>
      <c r="L409" s="18">
        <f>SUM(L404:L408)</f>
        <v>6</v>
      </c>
      <c r="M409" s="18">
        <f t="shared" ref="M409:X409" si="139">SUM(M404:M408)</f>
        <v>12</v>
      </c>
      <c r="N409" s="18">
        <f t="shared" si="139"/>
        <v>23</v>
      </c>
      <c r="O409" s="18">
        <f t="shared" si="139"/>
        <v>33</v>
      </c>
      <c r="P409" s="18">
        <f t="shared" si="139"/>
        <v>23</v>
      </c>
      <c r="Q409" s="18">
        <f t="shared" si="139"/>
        <v>25</v>
      </c>
      <c r="R409" s="18">
        <f t="shared" si="139"/>
        <v>29</v>
      </c>
      <c r="S409" s="18">
        <f t="shared" si="139"/>
        <v>13</v>
      </c>
      <c r="T409" s="18">
        <f t="shared" si="139"/>
        <v>23</v>
      </c>
      <c r="U409" s="18">
        <f t="shared" si="139"/>
        <v>31</v>
      </c>
      <c r="V409" s="18">
        <f t="shared" si="139"/>
        <v>23</v>
      </c>
      <c r="W409" s="18">
        <f t="shared" si="139"/>
        <v>13</v>
      </c>
      <c r="X409" s="18">
        <f t="shared" si="139"/>
        <v>29</v>
      </c>
    </row>
    <row r="410" spans="3:24" hidden="1" outlineLevel="2"/>
    <row r="411" spans="3:24" hidden="1" outlineLevel="2">
      <c r="D411" s="26" t="str">
        <f>D82</f>
        <v>Total Opex</v>
      </c>
      <c r="L411" s="61">
        <f>L409</f>
        <v>6</v>
      </c>
      <c r="M411" s="61">
        <f t="shared" ref="M411:X411" si="140">M409</f>
        <v>12</v>
      </c>
      <c r="N411" s="61">
        <f t="shared" si="140"/>
        <v>23</v>
      </c>
      <c r="O411" s="61">
        <f t="shared" si="140"/>
        <v>33</v>
      </c>
      <c r="P411" s="61">
        <f t="shared" si="140"/>
        <v>23</v>
      </c>
      <c r="Q411" s="61">
        <f t="shared" si="140"/>
        <v>25</v>
      </c>
      <c r="R411" s="61">
        <f t="shared" si="140"/>
        <v>29</v>
      </c>
      <c r="S411" s="61">
        <f t="shared" si="140"/>
        <v>13</v>
      </c>
      <c r="T411" s="61">
        <f t="shared" si="140"/>
        <v>23</v>
      </c>
      <c r="U411" s="61">
        <f t="shared" si="140"/>
        <v>31</v>
      </c>
      <c r="V411" s="61">
        <f t="shared" si="140"/>
        <v>23</v>
      </c>
      <c r="W411" s="61">
        <f t="shared" si="140"/>
        <v>13</v>
      </c>
      <c r="X411" s="61">
        <f t="shared" si="140"/>
        <v>29</v>
      </c>
    </row>
    <row r="412" spans="3:24" collapsed="1"/>
    <row r="413" spans="3:24" s="29" customFormat="1" ht="12">
      <c r="C413" s="30" t="str">
        <f>C84</f>
        <v>Capital Expenditure</v>
      </c>
    </row>
    <row r="414" spans="3:24" hidden="1" outlineLevel="2"/>
    <row r="415" spans="3:24" hidden="1" outlineLevel="2">
      <c r="D415" s="28" t="str">
        <f t="shared" ref="D415:D420" si="141">D87</f>
        <v>Capex Category 1</v>
      </c>
      <c r="L415" s="11">
        <f t="shared" ref="L415:X415" si="142">L87</f>
        <v>5</v>
      </c>
      <c r="M415" s="11">
        <f t="shared" si="142"/>
        <v>0</v>
      </c>
      <c r="N415" s="11">
        <f t="shared" si="142"/>
        <v>0</v>
      </c>
      <c r="O415" s="11">
        <f t="shared" si="142"/>
        <v>0</v>
      </c>
      <c r="P415" s="11">
        <f t="shared" si="142"/>
        <v>6</v>
      </c>
      <c r="Q415" s="11">
        <f t="shared" si="142"/>
        <v>0</v>
      </c>
      <c r="R415" s="11">
        <f t="shared" si="142"/>
        <v>0</v>
      </c>
      <c r="S415" s="11">
        <f t="shared" si="142"/>
        <v>0</v>
      </c>
      <c r="T415" s="11">
        <f t="shared" si="142"/>
        <v>7</v>
      </c>
      <c r="U415" s="11">
        <f t="shared" si="142"/>
        <v>0</v>
      </c>
      <c r="V415" s="11">
        <f t="shared" si="142"/>
        <v>0</v>
      </c>
      <c r="W415" s="11">
        <f t="shared" si="142"/>
        <v>0</v>
      </c>
      <c r="X415" s="11">
        <f t="shared" si="142"/>
        <v>0</v>
      </c>
    </row>
    <row r="416" spans="3:24" hidden="1" outlineLevel="2">
      <c r="D416" s="28" t="str">
        <f t="shared" si="141"/>
        <v>Capex Category 2</v>
      </c>
      <c r="L416" s="11">
        <f t="shared" ref="L416:X416" si="143">L88</f>
        <v>5</v>
      </c>
      <c r="M416" s="11">
        <f t="shared" si="143"/>
        <v>0</v>
      </c>
      <c r="N416" s="11">
        <f t="shared" si="143"/>
        <v>0</v>
      </c>
      <c r="O416" s="11">
        <f t="shared" si="143"/>
        <v>0</v>
      </c>
      <c r="P416" s="11">
        <f t="shared" si="143"/>
        <v>6</v>
      </c>
      <c r="Q416" s="11">
        <f t="shared" si="143"/>
        <v>0</v>
      </c>
      <c r="R416" s="11">
        <f t="shared" si="143"/>
        <v>0</v>
      </c>
      <c r="S416" s="11">
        <f t="shared" si="143"/>
        <v>0</v>
      </c>
      <c r="T416" s="11">
        <f t="shared" si="143"/>
        <v>7</v>
      </c>
      <c r="U416" s="11">
        <f t="shared" si="143"/>
        <v>0</v>
      </c>
      <c r="V416" s="11">
        <f t="shared" si="143"/>
        <v>0</v>
      </c>
      <c r="W416" s="11">
        <f t="shared" si="143"/>
        <v>0</v>
      </c>
      <c r="X416" s="11">
        <f t="shared" si="143"/>
        <v>0</v>
      </c>
    </row>
    <row r="417" spans="3:24" hidden="1" outlineLevel="2">
      <c r="D417" s="28" t="str">
        <f t="shared" si="141"/>
        <v>Capex Category 3</v>
      </c>
      <c r="L417" s="11">
        <f t="shared" ref="L417:X417" si="144">L89</f>
        <v>5</v>
      </c>
      <c r="M417" s="11">
        <f t="shared" si="144"/>
        <v>0</v>
      </c>
      <c r="N417" s="11">
        <f t="shared" si="144"/>
        <v>0</v>
      </c>
      <c r="O417" s="11">
        <f t="shared" si="144"/>
        <v>0</v>
      </c>
      <c r="P417" s="11">
        <f t="shared" si="144"/>
        <v>6</v>
      </c>
      <c r="Q417" s="11">
        <f t="shared" si="144"/>
        <v>0</v>
      </c>
      <c r="R417" s="11">
        <f t="shared" si="144"/>
        <v>0</v>
      </c>
      <c r="S417" s="11">
        <f t="shared" si="144"/>
        <v>0</v>
      </c>
      <c r="T417" s="11">
        <f t="shared" si="144"/>
        <v>7</v>
      </c>
      <c r="U417" s="11">
        <f t="shared" si="144"/>
        <v>0</v>
      </c>
      <c r="V417" s="11">
        <f t="shared" si="144"/>
        <v>0</v>
      </c>
      <c r="W417" s="11">
        <f t="shared" si="144"/>
        <v>0</v>
      </c>
      <c r="X417" s="11">
        <f t="shared" si="144"/>
        <v>0</v>
      </c>
    </row>
    <row r="418" spans="3:24" hidden="1" outlineLevel="2">
      <c r="D418" s="28" t="str">
        <f t="shared" si="141"/>
        <v>Capex Category 4</v>
      </c>
      <c r="L418" s="11">
        <f t="shared" ref="L418:X418" si="145">L90</f>
        <v>5</v>
      </c>
      <c r="M418" s="11">
        <f t="shared" si="145"/>
        <v>0</v>
      </c>
      <c r="N418" s="11">
        <f t="shared" si="145"/>
        <v>0</v>
      </c>
      <c r="O418" s="11">
        <f t="shared" si="145"/>
        <v>0</v>
      </c>
      <c r="P418" s="11">
        <f t="shared" si="145"/>
        <v>6</v>
      </c>
      <c r="Q418" s="11">
        <f t="shared" si="145"/>
        <v>0</v>
      </c>
      <c r="R418" s="11">
        <f t="shared" si="145"/>
        <v>0</v>
      </c>
      <c r="S418" s="11">
        <f t="shared" si="145"/>
        <v>0</v>
      </c>
      <c r="T418" s="11">
        <f t="shared" si="145"/>
        <v>7</v>
      </c>
      <c r="U418" s="11">
        <f t="shared" si="145"/>
        <v>0</v>
      </c>
      <c r="V418" s="11">
        <f t="shared" si="145"/>
        <v>0</v>
      </c>
      <c r="W418" s="11">
        <f t="shared" si="145"/>
        <v>0</v>
      </c>
      <c r="X418" s="11">
        <f t="shared" si="145"/>
        <v>0</v>
      </c>
    </row>
    <row r="419" spans="3:24" hidden="1" outlineLevel="2">
      <c r="D419" s="28" t="str">
        <f t="shared" si="141"/>
        <v>Capex Category 5</v>
      </c>
      <c r="L419" s="11">
        <f t="shared" ref="L419:X419" si="146">L91</f>
        <v>5</v>
      </c>
      <c r="M419" s="11">
        <f t="shared" si="146"/>
        <v>0</v>
      </c>
      <c r="N419" s="11">
        <f t="shared" si="146"/>
        <v>0</v>
      </c>
      <c r="O419" s="11">
        <f t="shared" si="146"/>
        <v>0</v>
      </c>
      <c r="P419" s="11">
        <f t="shared" si="146"/>
        <v>6</v>
      </c>
      <c r="Q419" s="11">
        <f t="shared" si="146"/>
        <v>0</v>
      </c>
      <c r="R419" s="11">
        <f t="shared" si="146"/>
        <v>0</v>
      </c>
      <c r="S419" s="11">
        <f t="shared" si="146"/>
        <v>0</v>
      </c>
      <c r="T419" s="11">
        <f t="shared" si="146"/>
        <v>7</v>
      </c>
      <c r="U419" s="11">
        <f t="shared" si="146"/>
        <v>0</v>
      </c>
      <c r="V419" s="11">
        <f t="shared" si="146"/>
        <v>0</v>
      </c>
      <c r="W419" s="11">
        <f t="shared" si="146"/>
        <v>0</v>
      </c>
      <c r="X419" s="11">
        <f t="shared" si="146"/>
        <v>0</v>
      </c>
    </row>
    <row r="420" spans="3:24" hidden="1" outlineLevel="2">
      <c r="D420" s="28" t="str">
        <f t="shared" si="141"/>
        <v>Sub Total</v>
      </c>
      <c r="L420" s="18">
        <f>SUM(L415:L419)</f>
        <v>25</v>
      </c>
      <c r="M420" s="18">
        <f t="shared" ref="M420:X420" si="147">SUM(M415:M419)</f>
        <v>0</v>
      </c>
      <c r="N420" s="18">
        <f t="shared" si="147"/>
        <v>0</v>
      </c>
      <c r="O420" s="18">
        <f t="shared" si="147"/>
        <v>0</v>
      </c>
      <c r="P420" s="18">
        <f t="shared" si="147"/>
        <v>30</v>
      </c>
      <c r="Q420" s="18">
        <f t="shared" si="147"/>
        <v>0</v>
      </c>
      <c r="R420" s="18">
        <f t="shared" si="147"/>
        <v>0</v>
      </c>
      <c r="S420" s="18">
        <f t="shared" si="147"/>
        <v>0</v>
      </c>
      <c r="T420" s="18">
        <f t="shared" si="147"/>
        <v>35</v>
      </c>
      <c r="U420" s="18">
        <f t="shared" si="147"/>
        <v>0</v>
      </c>
      <c r="V420" s="18">
        <f t="shared" si="147"/>
        <v>0</v>
      </c>
      <c r="W420" s="18">
        <f t="shared" si="147"/>
        <v>0</v>
      </c>
      <c r="X420" s="18">
        <f t="shared" si="147"/>
        <v>0</v>
      </c>
    </row>
    <row r="421" spans="3:24" hidden="1" outlineLevel="2"/>
    <row r="422" spans="3:24" hidden="1" outlineLevel="2">
      <c r="D422" s="26" t="str">
        <f>D94</f>
        <v>Total Capex</v>
      </c>
      <c r="L422" s="61">
        <f>L420</f>
        <v>25</v>
      </c>
      <c r="M422" s="61">
        <f t="shared" ref="M422:X422" si="148">M420</f>
        <v>0</v>
      </c>
      <c r="N422" s="61">
        <f t="shared" si="148"/>
        <v>0</v>
      </c>
      <c r="O422" s="61">
        <f t="shared" si="148"/>
        <v>0</v>
      </c>
      <c r="P422" s="61">
        <f t="shared" si="148"/>
        <v>30</v>
      </c>
      <c r="Q422" s="61">
        <f t="shared" si="148"/>
        <v>0</v>
      </c>
      <c r="R422" s="61">
        <f t="shared" si="148"/>
        <v>0</v>
      </c>
      <c r="S422" s="61">
        <f t="shared" si="148"/>
        <v>0</v>
      </c>
      <c r="T422" s="61">
        <f t="shared" si="148"/>
        <v>35</v>
      </c>
      <c r="U422" s="61">
        <f t="shared" si="148"/>
        <v>0</v>
      </c>
      <c r="V422" s="61">
        <f t="shared" si="148"/>
        <v>0</v>
      </c>
      <c r="W422" s="61">
        <f t="shared" si="148"/>
        <v>0</v>
      </c>
      <c r="X422" s="61">
        <f t="shared" si="148"/>
        <v>0</v>
      </c>
    </row>
    <row r="423" spans="3:24" collapsed="1"/>
    <row r="424" spans="3:24" s="29" customFormat="1" ht="12">
      <c r="C424" s="30" t="str">
        <f>C98</f>
        <v>Operating Receivables</v>
      </c>
    </row>
    <row r="425" spans="3:24" hidden="1" outlineLevel="2"/>
    <row r="426" spans="3:24" hidden="1" outlineLevel="2">
      <c r="D426" s="25" t="s">
        <v>74</v>
      </c>
    </row>
    <row r="427" spans="3:24" hidden="1" outlineLevel="2">
      <c r="D427" s="28" t="str">
        <f>$D$101</f>
        <v>30 Days Receivable</v>
      </c>
      <c r="L427" s="11">
        <f t="shared" ref="L427:X427" si="149">L103</f>
        <v>100</v>
      </c>
      <c r="M427" s="11">
        <f t="shared" si="149"/>
        <v>8.2191780821917746</v>
      </c>
      <c r="N427" s="11">
        <f t="shared" si="149"/>
        <v>8.8767123287671268</v>
      </c>
      <c r="O427" s="11">
        <f t="shared" si="149"/>
        <v>9.5884931506849256</v>
      </c>
      <c r="P427" s="11">
        <f t="shared" si="149"/>
        <v>10.330819672131128</v>
      </c>
      <c r="Q427" s="11">
        <f t="shared" si="149"/>
        <v>11.193605819178089</v>
      </c>
      <c r="R427" s="11">
        <f t="shared" si="149"/>
        <v>12.097379736986312</v>
      </c>
      <c r="S427" s="11">
        <f t="shared" si="149"/>
        <v>13.076358736257532</v>
      </c>
      <c r="T427" s="11">
        <f t="shared" si="149"/>
        <v>14.098347909944266</v>
      </c>
      <c r="U427" s="11">
        <f t="shared" si="149"/>
        <v>15.286217944660024</v>
      </c>
      <c r="V427" s="11">
        <f t="shared" si="149"/>
        <v>16.531699346251401</v>
      </c>
      <c r="W427" s="11">
        <f t="shared" si="149"/>
        <v>17.881693456105211</v>
      </c>
      <c r="X427" s="11">
        <f t="shared" si="149"/>
        <v>19.292348555910309</v>
      </c>
    </row>
    <row r="428" spans="3:24" hidden="1" outlineLevel="2">
      <c r="D428" s="26" t="str">
        <f>"Total "&amp;D426</f>
        <v>Total Opening Balance</v>
      </c>
      <c r="L428" s="59">
        <f t="shared" ref="L428:X428" si="150">SUM(L427:L427)</f>
        <v>100</v>
      </c>
      <c r="M428" s="59">
        <f t="shared" si="150"/>
        <v>8.2191780821917746</v>
      </c>
      <c r="N428" s="59">
        <f t="shared" si="150"/>
        <v>8.8767123287671268</v>
      </c>
      <c r="O428" s="59">
        <f t="shared" si="150"/>
        <v>9.5884931506849256</v>
      </c>
      <c r="P428" s="59">
        <f t="shared" si="150"/>
        <v>10.330819672131128</v>
      </c>
      <c r="Q428" s="59">
        <f t="shared" si="150"/>
        <v>11.193605819178089</v>
      </c>
      <c r="R428" s="59">
        <f t="shared" si="150"/>
        <v>12.097379736986312</v>
      </c>
      <c r="S428" s="59">
        <f t="shared" si="150"/>
        <v>13.076358736257532</v>
      </c>
      <c r="T428" s="59">
        <f t="shared" si="150"/>
        <v>14.098347909944266</v>
      </c>
      <c r="U428" s="59">
        <f t="shared" si="150"/>
        <v>15.286217944660024</v>
      </c>
      <c r="V428" s="59">
        <f t="shared" si="150"/>
        <v>16.531699346251401</v>
      </c>
      <c r="W428" s="59">
        <f t="shared" si="150"/>
        <v>17.881693456105211</v>
      </c>
      <c r="X428" s="59">
        <f t="shared" si="150"/>
        <v>19.292348555910309</v>
      </c>
    </row>
    <row r="429" spans="3:24" hidden="1" outlineLevel="2"/>
    <row r="430" spans="3:24" hidden="1" outlineLevel="2">
      <c r="D430" s="25" t="s">
        <v>75</v>
      </c>
    </row>
    <row r="431" spans="3:24" hidden="1" outlineLevel="2">
      <c r="D431" s="28" t="str">
        <f>$D$101</f>
        <v>30 Days Receivable</v>
      </c>
      <c r="L431" s="11">
        <f t="shared" ref="L431:X431" si="151">L104</f>
        <v>100</v>
      </c>
      <c r="M431" s="11">
        <f t="shared" si="151"/>
        <v>108.00000000000001</v>
      </c>
      <c r="N431" s="11">
        <f t="shared" si="151"/>
        <v>116.66000000000001</v>
      </c>
      <c r="O431" s="11">
        <f t="shared" si="151"/>
        <v>126.03600000000003</v>
      </c>
      <c r="P431" s="11">
        <f t="shared" si="151"/>
        <v>136.18887080000005</v>
      </c>
      <c r="Q431" s="11">
        <f t="shared" si="151"/>
        <v>147.18478680000004</v>
      </c>
      <c r="R431" s="11">
        <f t="shared" si="151"/>
        <v>159.09569795780004</v>
      </c>
      <c r="S431" s="11">
        <f t="shared" si="151"/>
        <v>171.99984450132007</v>
      </c>
      <c r="T431" s="11">
        <f t="shared" si="151"/>
        <v>185.98231832669683</v>
      </c>
      <c r="U431" s="11">
        <f t="shared" si="151"/>
        <v>201.1356753793919</v>
      </c>
      <c r="V431" s="11">
        <f t="shared" si="151"/>
        <v>217.56060371594663</v>
      </c>
      <c r="W431" s="11">
        <f t="shared" si="151"/>
        <v>235.36665238210571</v>
      </c>
      <c r="X431" s="11">
        <f t="shared" si="151"/>
        <v>254.67302672238515</v>
      </c>
    </row>
    <row r="432" spans="3:24" hidden="1" outlineLevel="2">
      <c r="D432" s="26" t="str">
        <f>"Total "&amp;D430</f>
        <v>Total Revenue</v>
      </c>
      <c r="L432" s="59">
        <f t="shared" ref="L432:X432" si="152">SUM(L431:L431)</f>
        <v>100</v>
      </c>
      <c r="M432" s="59">
        <f t="shared" si="152"/>
        <v>108.00000000000001</v>
      </c>
      <c r="N432" s="59">
        <f t="shared" si="152"/>
        <v>116.66000000000001</v>
      </c>
      <c r="O432" s="59">
        <f t="shared" si="152"/>
        <v>126.03600000000003</v>
      </c>
      <c r="P432" s="59">
        <f t="shared" si="152"/>
        <v>136.18887080000005</v>
      </c>
      <c r="Q432" s="59">
        <f t="shared" si="152"/>
        <v>147.18478680000004</v>
      </c>
      <c r="R432" s="59">
        <f t="shared" si="152"/>
        <v>159.09569795780004</v>
      </c>
      <c r="S432" s="59">
        <f t="shared" si="152"/>
        <v>171.99984450132007</v>
      </c>
      <c r="T432" s="59">
        <f t="shared" si="152"/>
        <v>185.98231832669683</v>
      </c>
      <c r="U432" s="59">
        <f t="shared" si="152"/>
        <v>201.1356753793919</v>
      </c>
      <c r="V432" s="59">
        <f t="shared" si="152"/>
        <v>217.56060371594663</v>
      </c>
      <c r="W432" s="59">
        <f t="shared" si="152"/>
        <v>235.36665238210571</v>
      </c>
      <c r="X432" s="59">
        <f t="shared" si="152"/>
        <v>254.67302672238515</v>
      </c>
    </row>
    <row r="433" spans="3:24" hidden="1" outlineLevel="2">
      <c r="D433" s="25"/>
    </row>
    <row r="434" spans="3:24" hidden="1" outlineLevel="2">
      <c r="D434" s="25" t="s">
        <v>76</v>
      </c>
    </row>
    <row r="435" spans="3:24" hidden="1" outlineLevel="2">
      <c r="D435" s="28" t="str">
        <f>$D$101</f>
        <v>30 Days Receivable</v>
      </c>
      <c r="L435" s="11">
        <f t="shared" ref="L435:X435" si="153">L105</f>
        <v>-191.78082191780823</v>
      </c>
      <c r="M435" s="11">
        <f t="shared" si="153"/>
        <v>-107.34246575342466</v>
      </c>
      <c r="N435" s="11">
        <f t="shared" si="153"/>
        <v>-115.94821917808221</v>
      </c>
      <c r="O435" s="11">
        <f t="shared" si="153"/>
        <v>-125.29367347855381</v>
      </c>
      <c r="P435" s="11">
        <f t="shared" si="153"/>
        <v>-135.32608465295309</v>
      </c>
      <c r="Q435" s="11">
        <f t="shared" si="153"/>
        <v>-146.28101288219182</v>
      </c>
      <c r="R435" s="11">
        <f t="shared" si="153"/>
        <v>-158.11671895852882</v>
      </c>
      <c r="S435" s="11">
        <f t="shared" si="153"/>
        <v>-170.97785532763334</v>
      </c>
      <c r="T435" s="11">
        <f t="shared" si="153"/>
        <v>-184.79444829198107</v>
      </c>
      <c r="U435" s="11">
        <f t="shared" si="153"/>
        <v>-199.89019397780052</v>
      </c>
      <c r="V435" s="11">
        <f t="shared" si="153"/>
        <v>-216.21060960609282</v>
      </c>
      <c r="W435" s="11">
        <f t="shared" si="153"/>
        <v>-233.95599728230061</v>
      </c>
      <c r="X435" s="11">
        <f t="shared" si="153"/>
        <v>-253.03334568467477</v>
      </c>
    </row>
    <row r="436" spans="3:24" hidden="1" outlineLevel="2">
      <c r="D436" s="26" t="str">
        <f>"Total "&amp;D434</f>
        <v>Total Cash Receipts</v>
      </c>
      <c r="L436" s="59">
        <f t="shared" ref="L436:X436" si="154">SUM(L435:L435)</f>
        <v>-191.78082191780823</v>
      </c>
      <c r="M436" s="59">
        <f t="shared" si="154"/>
        <v>-107.34246575342466</v>
      </c>
      <c r="N436" s="59">
        <f t="shared" si="154"/>
        <v>-115.94821917808221</v>
      </c>
      <c r="O436" s="59">
        <f t="shared" si="154"/>
        <v>-125.29367347855381</v>
      </c>
      <c r="P436" s="59">
        <f t="shared" si="154"/>
        <v>-135.32608465295309</v>
      </c>
      <c r="Q436" s="59">
        <f t="shared" si="154"/>
        <v>-146.28101288219182</v>
      </c>
      <c r="R436" s="59">
        <f t="shared" si="154"/>
        <v>-158.11671895852882</v>
      </c>
      <c r="S436" s="59">
        <f t="shared" si="154"/>
        <v>-170.97785532763334</v>
      </c>
      <c r="T436" s="59">
        <f t="shared" si="154"/>
        <v>-184.79444829198107</v>
      </c>
      <c r="U436" s="59">
        <f t="shared" si="154"/>
        <v>-199.89019397780052</v>
      </c>
      <c r="V436" s="59">
        <f t="shared" si="154"/>
        <v>-216.21060960609282</v>
      </c>
      <c r="W436" s="59">
        <f t="shared" si="154"/>
        <v>-233.95599728230061</v>
      </c>
      <c r="X436" s="59">
        <f t="shared" si="154"/>
        <v>-253.03334568467477</v>
      </c>
    </row>
    <row r="437" spans="3:24" hidden="1" outlineLevel="2">
      <c r="D437" s="25"/>
    </row>
    <row r="438" spans="3:24" hidden="1" outlineLevel="2">
      <c r="D438" s="25" t="s">
        <v>77</v>
      </c>
    </row>
    <row r="439" spans="3:24" hidden="1" outlineLevel="2">
      <c r="D439" s="28" t="str">
        <f>$D$101</f>
        <v>30 Days Receivable</v>
      </c>
      <c r="L439" s="11">
        <f t="shared" ref="L439:X439" si="155">L106</f>
        <v>8.2191780821917746</v>
      </c>
      <c r="M439" s="11">
        <f t="shared" si="155"/>
        <v>8.8767123287671268</v>
      </c>
      <c r="N439" s="11">
        <f t="shared" si="155"/>
        <v>9.5884931506849256</v>
      </c>
      <c r="O439" s="11">
        <f t="shared" si="155"/>
        <v>10.330819672131128</v>
      </c>
      <c r="P439" s="11">
        <f t="shared" si="155"/>
        <v>11.193605819178089</v>
      </c>
      <c r="Q439" s="11">
        <f t="shared" si="155"/>
        <v>12.097379736986312</v>
      </c>
      <c r="R439" s="11">
        <f t="shared" si="155"/>
        <v>13.076358736257532</v>
      </c>
      <c r="S439" s="11">
        <f t="shared" si="155"/>
        <v>14.098347909944266</v>
      </c>
      <c r="T439" s="11">
        <f t="shared" si="155"/>
        <v>15.286217944660024</v>
      </c>
      <c r="U439" s="11">
        <f t="shared" si="155"/>
        <v>16.531699346251401</v>
      </c>
      <c r="V439" s="11">
        <f t="shared" si="155"/>
        <v>17.881693456105211</v>
      </c>
      <c r="W439" s="11">
        <f t="shared" si="155"/>
        <v>19.292348555910309</v>
      </c>
      <c r="X439" s="11">
        <f t="shared" si="155"/>
        <v>20.932029593620712</v>
      </c>
    </row>
    <row r="440" spans="3:24" hidden="1" outlineLevel="2">
      <c r="D440" s="26" t="str">
        <f>"Total "&amp;D438</f>
        <v>Total Closing Balance</v>
      </c>
      <c r="L440" s="22">
        <f t="shared" ref="L440:X440" si="156">SUM(L439:L439)</f>
        <v>8.2191780821917746</v>
      </c>
      <c r="M440" s="22">
        <f t="shared" si="156"/>
        <v>8.8767123287671268</v>
      </c>
      <c r="N440" s="22">
        <f t="shared" si="156"/>
        <v>9.5884931506849256</v>
      </c>
      <c r="O440" s="22">
        <f t="shared" si="156"/>
        <v>10.330819672131128</v>
      </c>
      <c r="P440" s="22">
        <f t="shared" si="156"/>
        <v>11.193605819178089</v>
      </c>
      <c r="Q440" s="22">
        <f t="shared" si="156"/>
        <v>12.097379736986312</v>
      </c>
      <c r="R440" s="22">
        <f t="shared" si="156"/>
        <v>13.076358736257532</v>
      </c>
      <c r="S440" s="22">
        <f t="shared" si="156"/>
        <v>14.098347909944266</v>
      </c>
      <c r="T440" s="22">
        <f t="shared" si="156"/>
        <v>15.286217944660024</v>
      </c>
      <c r="U440" s="22">
        <f t="shared" si="156"/>
        <v>16.531699346251401</v>
      </c>
      <c r="V440" s="22">
        <f t="shared" si="156"/>
        <v>17.881693456105211</v>
      </c>
      <c r="W440" s="22">
        <f t="shared" si="156"/>
        <v>19.292348555910309</v>
      </c>
      <c r="X440" s="22">
        <f t="shared" si="156"/>
        <v>20.932029593620712</v>
      </c>
    </row>
    <row r="441" spans="3:24" collapsed="1"/>
    <row r="442" spans="3:24" s="29" customFormat="1" ht="12">
      <c r="C442" s="30" t="str">
        <f>C108</f>
        <v>Operating Payables</v>
      </c>
    </row>
    <row r="443" spans="3:24" outlineLevel="2"/>
    <row r="444" spans="3:24" outlineLevel="2">
      <c r="D444" s="25" t="s">
        <v>74</v>
      </c>
    </row>
    <row r="445" spans="3:24" outlineLevel="2">
      <c r="D445" s="28" t="str">
        <f>$D$111</f>
        <v>Cost of Sales</v>
      </c>
      <c r="L445" s="11">
        <f t="shared" ref="L445:X445" si="157">L113</f>
        <v>10</v>
      </c>
      <c r="M445" s="11">
        <f t="shared" si="157"/>
        <v>10.109589041095887</v>
      </c>
      <c r="N445" s="11">
        <f t="shared" si="157"/>
        <v>10.362328767123287</v>
      </c>
      <c r="O445" s="11">
        <f t="shared" si="157"/>
        <v>10.62138698630136</v>
      </c>
      <c r="P445" s="11">
        <f t="shared" si="157"/>
        <v>10.85717597336064</v>
      </c>
      <c r="Q445" s="11">
        <f t="shared" si="157"/>
        <v>11.159094702482875</v>
      </c>
      <c r="R445" s="11">
        <f t="shared" si="157"/>
        <v>11.438072070044939</v>
      </c>
      <c r="S445" s="11">
        <f t="shared" si="157"/>
        <v>11.724023871796064</v>
      </c>
      <c r="T445" s="11">
        <f t="shared" si="157"/>
        <v>11.984290795179504</v>
      </c>
      <c r="U445" s="11">
        <f t="shared" si="157"/>
        <v>12.317552580305744</v>
      </c>
      <c r="V445" s="11">
        <f t="shared" si="157"/>
        <v>12.62549139481338</v>
      </c>
      <c r="W445" s="11">
        <f t="shared" si="157"/>
        <v>12.941128679683715</v>
      </c>
      <c r="X445" s="11">
        <f t="shared" si="157"/>
        <v>13.228414664717675</v>
      </c>
    </row>
    <row r="446" spans="3:24" outlineLevel="2">
      <c r="D446" s="28" t="str">
        <f>$D$119</f>
        <v>Operating Expenditure</v>
      </c>
      <c r="L446" s="52">
        <f t="shared" ref="L446:X446" si="158">L121</f>
        <v>10</v>
      </c>
      <c r="M446" s="52">
        <f t="shared" si="158"/>
        <v>10</v>
      </c>
      <c r="N446" s="52">
        <f t="shared" si="158"/>
        <v>10</v>
      </c>
      <c r="O446" s="52">
        <f t="shared" si="158"/>
        <v>10</v>
      </c>
      <c r="P446" s="52">
        <f t="shared" si="158"/>
        <v>10</v>
      </c>
      <c r="Q446" s="52">
        <f t="shared" si="158"/>
        <v>10</v>
      </c>
      <c r="R446" s="52">
        <f t="shared" si="158"/>
        <v>10</v>
      </c>
      <c r="S446" s="52">
        <f t="shared" si="158"/>
        <v>10</v>
      </c>
      <c r="T446" s="52">
        <f t="shared" si="158"/>
        <v>10</v>
      </c>
      <c r="U446" s="52">
        <f t="shared" si="158"/>
        <v>10</v>
      </c>
      <c r="V446" s="52">
        <f t="shared" si="158"/>
        <v>10</v>
      </c>
      <c r="W446" s="52">
        <f t="shared" si="158"/>
        <v>10</v>
      </c>
      <c r="X446" s="52">
        <f t="shared" si="158"/>
        <v>10</v>
      </c>
    </row>
    <row r="447" spans="3:24" outlineLevel="2">
      <c r="D447" s="26" t="str">
        <f>"Total "&amp;D444</f>
        <v>Total Opening Balance</v>
      </c>
      <c r="L447" s="59">
        <f t="shared" ref="L447:X447" si="159">SUM(L445:L446)</f>
        <v>20</v>
      </c>
      <c r="M447" s="59">
        <f t="shared" si="159"/>
        <v>20.109589041095887</v>
      </c>
      <c r="N447" s="59">
        <f t="shared" si="159"/>
        <v>20.362328767123287</v>
      </c>
      <c r="O447" s="59">
        <f t="shared" si="159"/>
        <v>20.62138698630136</v>
      </c>
      <c r="P447" s="59">
        <f t="shared" si="159"/>
        <v>20.85717597336064</v>
      </c>
      <c r="Q447" s="59">
        <f t="shared" si="159"/>
        <v>21.159094702482875</v>
      </c>
      <c r="R447" s="59">
        <f t="shared" si="159"/>
        <v>21.438072070044939</v>
      </c>
      <c r="S447" s="59">
        <f t="shared" si="159"/>
        <v>21.724023871796064</v>
      </c>
      <c r="T447" s="59">
        <f t="shared" si="159"/>
        <v>21.984290795179504</v>
      </c>
      <c r="U447" s="59">
        <f t="shared" si="159"/>
        <v>22.317552580305744</v>
      </c>
      <c r="V447" s="59">
        <f t="shared" si="159"/>
        <v>22.62549139481338</v>
      </c>
      <c r="W447" s="59">
        <f t="shared" si="159"/>
        <v>22.941128679683715</v>
      </c>
      <c r="X447" s="59">
        <f t="shared" si="159"/>
        <v>23.228414664717675</v>
      </c>
    </row>
    <row r="448" spans="3:24" outlineLevel="2"/>
    <row r="449" spans="3:24" outlineLevel="2">
      <c r="D449" s="25" t="s">
        <v>81</v>
      </c>
    </row>
    <row r="450" spans="3:24" outlineLevel="2">
      <c r="D450" s="28" t="str">
        <f>$D$111</f>
        <v>Cost of Sales</v>
      </c>
      <c r="L450" s="11">
        <f t="shared" ref="L450:X450" si="160">L114</f>
        <v>61.499999999999986</v>
      </c>
      <c r="M450" s="11">
        <f t="shared" si="160"/>
        <v>63.037499999999994</v>
      </c>
      <c r="N450" s="11">
        <f t="shared" si="160"/>
        <v>64.613437499999989</v>
      </c>
      <c r="O450" s="11">
        <f t="shared" si="160"/>
        <v>66.228773437499981</v>
      </c>
      <c r="P450" s="11">
        <f t="shared" si="160"/>
        <v>67.884492773437472</v>
      </c>
      <c r="Q450" s="11">
        <f t="shared" si="160"/>
        <v>69.581605092773401</v>
      </c>
      <c r="R450" s="11">
        <f t="shared" si="160"/>
        <v>71.321145220092745</v>
      </c>
      <c r="S450" s="11">
        <f t="shared" si="160"/>
        <v>73.104173850595046</v>
      </c>
      <c r="T450" s="11">
        <f t="shared" si="160"/>
        <v>74.931778196859909</v>
      </c>
      <c r="U450" s="11">
        <f t="shared" si="160"/>
        <v>76.805072651781416</v>
      </c>
      <c r="V450" s="11">
        <f t="shared" si="160"/>
        <v>78.725199468075928</v>
      </c>
      <c r="W450" s="11">
        <f t="shared" si="160"/>
        <v>80.693329454777825</v>
      </c>
      <c r="X450" s="11">
        <f t="shared" si="160"/>
        <v>82.710662691147263</v>
      </c>
    </row>
    <row r="451" spans="3:24" outlineLevel="2">
      <c r="D451" s="28" t="str">
        <f>$D$119</f>
        <v>Operating Expenditure</v>
      </c>
      <c r="L451" s="52">
        <f t="shared" ref="L451:X451" si="161">L122</f>
        <v>6</v>
      </c>
      <c r="M451" s="52">
        <f t="shared" si="161"/>
        <v>12</v>
      </c>
      <c r="N451" s="52">
        <f t="shared" si="161"/>
        <v>23</v>
      </c>
      <c r="O451" s="52">
        <f t="shared" si="161"/>
        <v>33</v>
      </c>
      <c r="P451" s="52">
        <f t="shared" si="161"/>
        <v>23</v>
      </c>
      <c r="Q451" s="52">
        <f t="shared" si="161"/>
        <v>25</v>
      </c>
      <c r="R451" s="52">
        <f t="shared" si="161"/>
        <v>29</v>
      </c>
      <c r="S451" s="52">
        <f t="shared" si="161"/>
        <v>13</v>
      </c>
      <c r="T451" s="52">
        <f t="shared" si="161"/>
        <v>23</v>
      </c>
      <c r="U451" s="52">
        <f t="shared" si="161"/>
        <v>31</v>
      </c>
      <c r="V451" s="52">
        <f t="shared" si="161"/>
        <v>23</v>
      </c>
      <c r="W451" s="52">
        <f t="shared" si="161"/>
        <v>13</v>
      </c>
      <c r="X451" s="52">
        <f t="shared" si="161"/>
        <v>29</v>
      </c>
    </row>
    <row r="452" spans="3:24" outlineLevel="2">
      <c r="D452" s="26" t="str">
        <f>"Total "&amp;D449</f>
        <v>Total Expenses</v>
      </c>
      <c r="L452" s="59">
        <f t="shared" ref="L452:X452" si="162">SUM(L450:L451)</f>
        <v>67.499999999999986</v>
      </c>
      <c r="M452" s="59">
        <f t="shared" si="162"/>
        <v>75.037499999999994</v>
      </c>
      <c r="N452" s="59">
        <f t="shared" si="162"/>
        <v>87.613437499999989</v>
      </c>
      <c r="O452" s="59">
        <f t="shared" si="162"/>
        <v>99.228773437499981</v>
      </c>
      <c r="P452" s="59">
        <f t="shared" si="162"/>
        <v>90.884492773437472</v>
      </c>
      <c r="Q452" s="59">
        <f t="shared" si="162"/>
        <v>94.581605092773401</v>
      </c>
      <c r="R452" s="59">
        <f t="shared" si="162"/>
        <v>100.32114522009275</v>
      </c>
      <c r="S452" s="59">
        <f t="shared" si="162"/>
        <v>86.104173850595046</v>
      </c>
      <c r="T452" s="59">
        <f t="shared" si="162"/>
        <v>97.931778196859909</v>
      </c>
      <c r="U452" s="59">
        <f t="shared" si="162"/>
        <v>107.80507265178142</v>
      </c>
      <c r="V452" s="59">
        <f t="shared" si="162"/>
        <v>101.72519946807593</v>
      </c>
      <c r="W452" s="59">
        <f t="shared" si="162"/>
        <v>93.693329454777825</v>
      </c>
      <c r="X452" s="59">
        <f t="shared" si="162"/>
        <v>111.71066269114726</v>
      </c>
    </row>
    <row r="453" spans="3:24" outlineLevel="2">
      <c r="D453" s="25"/>
    </row>
    <row r="454" spans="3:24" outlineLevel="2">
      <c r="D454" s="25" t="s">
        <v>82</v>
      </c>
    </row>
    <row r="455" spans="3:24" outlineLevel="2">
      <c r="D455" s="28" t="str">
        <f>$D$111</f>
        <v>Cost of Sales</v>
      </c>
      <c r="L455" s="11">
        <f t="shared" ref="L455:X455" si="163">L115</f>
        <v>-61.390410958904098</v>
      </c>
      <c r="M455" s="11">
        <f t="shared" si="163"/>
        <v>-62.784760273972594</v>
      </c>
      <c r="N455" s="11">
        <f t="shared" si="163"/>
        <v>-64.354379280821917</v>
      </c>
      <c r="O455" s="11">
        <f t="shared" si="163"/>
        <v>-65.992984450440701</v>
      </c>
      <c r="P455" s="11">
        <f t="shared" si="163"/>
        <v>-67.582574044315237</v>
      </c>
      <c r="Q455" s="11" t="s">
        <v>223</v>
      </c>
      <c r="R455" s="11">
        <f t="shared" si="163"/>
        <v>-71.03519341834162</v>
      </c>
      <c r="S455" s="11">
        <f t="shared" si="163"/>
        <v>-72.843906927211606</v>
      </c>
      <c r="T455" s="11">
        <f t="shared" si="163"/>
        <v>-74.598516411733669</v>
      </c>
      <c r="U455" s="11">
        <f t="shared" si="163"/>
        <v>-76.497133837273779</v>
      </c>
      <c r="V455" s="11">
        <f t="shared" si="163"/>
        <v>-78.409562183205594</v>
      </c>
      <c r="W455" s="11">
        <f t="shared" si="163"/>
        <v>-80.406043469743864</v>
      </c>
      <c r="X455" s="11">
        <f t="shared" si="163"/>
        <v>-82.342804036772236</v>
      </c>
    </row>
    <row r="456" spans="3:24" outlineLevel="2">
      <c r="D456" s="28" t="str">
        <f>$D$119</f>
        <v>Operating Expenditure</v>
      </c>
      <c r="L456" s="52">
        <f t="shared" ref="L456:X456" si="164">L123</f>
        <v>-6</v>
      </c>
      <c r="M456" s="52">
        <f t="shared" si="164"/>
        <v>-12</v>
      </c>
      <c r="N456" s="52">
        <f t="shared" si="164"/>
        <v>-23</v>
      </c>
      <c r="O456" s="52">
        <f t="shared" si="164"/>
        <v>-33</v>
      </c>
      <c r="P456" s="52">
        <f t="shared" si="164"/>
        <v>-23</v>
      </c>
      <c r="Q456" s="52">
        <f t="shared" si="164"/>
        <v>-25</v>
      </c>
      <c r="R456" s="52">
        <f t="shared" si="164"/>
        <v>-29</v>
      </c>
      <c r="S456" s="52">
        <f t="shared" si="164"/>
        <v>-13</v>
      </c>
      <c r="T456" s="52">
        <f t="shared" si="164"/>
        <v>-23</v>
      </c>
      <c r="U456" s="52">
        <f t="shared" si="164"/>
        <v>-31</v>
      </c>
      <c r="V456" s="52">
        <f t="shared" si="164"/>
        <v>-23</v>
      </c>
      <c r="W456" s="52">
        <f t="shared" si="164"/>
        <v>-13</v>
      </c>
      <c r="X456" s="52">
        <f t="shared" si="164"/>
        <v>-29</v>
      </c>
    </row>
    <row r="457" spans="3:24" outlineLevel="2">
      <c r="D457" s="26" t="str">
        <f>"Total "&amp;D454</f>
        <v>Total Cash Payments</v>
      </c>
      <c r="L457" s="59">
        <f t="shared" ref="L457:X457" si="165">SUM(L455:L456)</f>
        <v>-67.390410958904098</v>
      </c>
      <c r="M457" s="59">
        <f t="shared" si="165"/>
        <v>-74.784760273972594</v>
      </c>
      <c r="N457" s="59">
        <f t="shared" si="165"/>
        <v>-87.354379280821917</v>
      </c>
      <c r="O457" s="59">
        <f t="shared" si="165"/>
        <v>-98.992984450440701</v>
      </c>
      <c r="P457" s="59">
        <f t="shared" si="165"/>
        <v>-90.582574044315237</v>
      </c>
      <c r="Q457" s="59">
        <f t="shared" si="165"/>
        <v>-25</v>
      </c>
      <c r="R457" s="59">
        <f t="shared" si="165"/>
        <v>-100.03519341834162</v>
      </c>
      <c r="S457" s="59">
        <f t="shared" si="165"/>
        <v>-85.843906927211606</v>
      </c>
      <c r="T457" s="59">
        <f t="shared" si="165"/>
        <v>-97.598516411733669</v>
      </c>
      <c r="U457" s="59">
        <f t="shared" si="165"/>
        <v>-107.49713383727378</v>
      </c>
      <c r="V457" s="59">
        <f t="shared" si="165"/>
        <v>-101.40956218320559</v>
      </c>
      <c r="W457" s="59">
        <f t="shared" si="165"/>
        <v>-93.406043469743864</v>
      </c>
      <c r="X457" s="59">
        <f t="shared" si="165"/>
        <v>-111.34280403677224</v>
      </c>
    </row>
    <row r="458" spans="3:24" outlineLevel="2">
      <c r="D458" s="25"/>
    </row>
    <row r="459" spans="3:24" outlineLevel="2">
      <c r="D459" s="25" t="s">
        <v>77</v>
      </c>
    </row>
    <row r="460" spans="3:24" outlineLevel="2">
      <c r="D460" s="28" t="str">
        <f>$D$111</f>
        <v>Cost of Sales</v>
      </c>
      <c r="L460" s="11">
        <f t="shared" ref="L460:X460" si="166">L116</f>
        <v>10.109589041095887</v>
      </c>
      <c r="M460" s="11">
        <f t="shared" si="166"/>
        <v>10.362328767123287</v>
      </c>
      <c r="N460" s="11">
        <f t="shared" si="166"/>
        <v>10.62138698630136</v>
      </c>
      <c r="O460" s="11">
        <f t="shared" si="166"/>
        <v>10.85717597336064</v>
      </c>
      <c r="P460" s="11">
        <f t="shared" si="166"/>
        <v>11.159094702482875</v>
      </c>
      <c r="Q460" s="11">
        <f t="shared" si="166"/>
        <v>11.438072070044939</v>
      </c>
      <c r="R460" s="11">
        <f t="shared" si="166"/>
        <v>11.724023871796064</v>
      </c>
      <c r="S460" s="11">
        <f t="shared" si="166"/>
        <v>11.984290795179504</v>
      </c>
      <c r="T460" s="11">
        <f t="shared" si="166"/>
        <v>12.317552580305744</v>
      </c>
      <c r="U460" s="11">
        <f t="shared" si="166"/>
        <v>12.62549139481338</v>
      </c>
      <c r="V460" s="11">
        <f t="shared" si="166"/>
        <v>12.941128679683715</v>
      </c>
      <c r="W460" s="11">
        <f t="shared" si="166"/>
        <v>13.228414664717675</v>
      </c>
      <c r="X460" s="11">
        <f t="shared" si="166"/>
        <v>13.596273319092703</v>
      </c>
    </row>
    <row r="461" spans="3:24" outlineLevel="2">
      <c r="D461" s="28" t="str">
        <f>$D$119</f>
        <v>Operating Expenditure</v>
      </c>
      <c r="L461" s="11">
        <f t="shared" ref="L461:X461" si="167">L124</f>
        <v>10</v>
      </c>
      <c r="M461" s="11">
        <f t="shared" si="167"/>
        <v>10</v>
      </c>
      <c r="N461" s="11">
        <f t="shared" si="167"/>
        <v>10</v>
      </c>
      <c r="O461" s="11">
        <f t="shared" si="167"/>
        <v>10</v>
      </c>
      <c r="P461" s="11">
        <f t="shared" si="167"/>
        <v>10</v>
      </c>
      <c r="Q461" s="11">
        <f t="shared" si="167"/>
        <v>10</v>
      </c>
      <c r="R461" s="11">
        <f t="shared" si="167"/>
        <v>10</v>
      </c>
      <c r="S461" s="11">
        <f t="shared" si="167"/>
        <v>10</v>
      </c>
      <c r="T461" s="11">
        <f t="shared" si="167"/>
        <v>10</v>
      </c>
      <c r="U461" s="11">
        <f t="shared" si="167"/>
        <v>10</v>
      </c>
      <c r="V461" s="11">
        <f t="shared" si="167"/>
        <v>10</v>
      </c>
      <c r="W461" s="11">
        <f t="shared" si="167"/>
        <v>10</v>
      </c>
      <c r="X461" s="11">
        <f t="shared" si="167"/>
        <v>10</v>
      </c>
    </row>
    <row r="462" spans="3:24" outlineLevel="2">
      <c r="D462" s="26" t="str">
        <f>"Total "&amp;D459</f>
        <v>Total Closing Balance</v>
      </c>
      <c r="L462" s="22">
        <f t="shared" ref="L462:X462" si="168">SUM(L460:L461)</f>
        <v>20.109589041095887</v>
      </c>
      <c r="M462" s="22">
        <f t="shared" si="168"/>
        <v>20.362328767123287</v>
      </c>
      <c r="N462" s="22">
        <f t="shared" si="168"/>
        <v>20.62138698630136</v>
      </c>
      <c r="O462" s="22">
        <f t="shared" si="168"/>
        <v>20.85717597336064</v>
      </c>
      <c r="P462" s="22">
        <f t="shared" si="168"/>
        <v>21.159094702482875</v>
      </c>
      <c r="Q462" s="22">
        <f t="shared" si="168"/>
        <v>21.438072070044939</v>
      </c>
      <c r="R462" s="22">
        <f t="shared" si="168"/>
        <v>21.724023871796064</v>
      </c>
      <c r="S462" s="22">
        <f t="shared" si="168"/>
        <v>21.984290795179504</v>
      </c>
      <c r="T462" s="22">
        <f t="shared" si="168"/>
        <v>22.317552580305744</v>
      </c>
      <c r="U462" s="22">
        <f t="shared" si="168"/>
        <v>22.62549139481338</v>
      </c>
      <c r="V462" s="22">
        <f t="shared" si="168"/>
        <v>22.941128679683715</v>
      </c>
      <c r="W462" s="22">
        <f t="shared" si="168"/>
        <v>23.228414664717675</v>
      </c>
      <c r="X462" s="22">
        <f t="shared" si="168"/>
        <v>23.596273319092703</v>
      </c>
    </row>
    <row r="464" spans="3:24" s="29" customFormat="1" ht="12">
      <c r="C464" s="30" t="str">
        <f>C128</f>
        <v>Book Assets</v>
      </c>
    </row>
    <row r="465" spans="4:24" hidden="1" outlineLevel="2"/>
    <row r="466" spans="4:24" hidden="1" outlineLevel="2">
      <c r="D466" s="25" t="s">
        <v>74</v>
      </c>
    </row>
    <row r="467" spans="4:24" hidden="1" outlineLevel="2">
      <c r="D467" s="28" t="str">
        <f>D131</f>
        <v>Asset Class # 1</v>
      </c>
      <c r="L467" s="11">
        <f t="shared" ref="L467:X467" si="169">L165</f>
        <v>50</v>
      </c>
      <c r="M467" s="11">
        <f t="shared" ca="1" si="169"/>
        <v>67.5</v>
      </c>
      <c r="N467" s="11">
        <f t="shared" ca="1" si="169"/>
        <v>58.75</v>
      </c>
      <c r="O467" s="11">
        <f t="shared" ca="1" si="169"/>
        <v>50</v>
      </c>
      <c r="P467" s="11">
        <f t="shared" ca="1" si="169"/>
        <v>41.25</v>
      </c>
      <c r="Q467" s="11">
        <f t="shared" ca="1" si="169"/>
        <v>61</v>
      </c>
      <c r="R467" s="11">
        <f t="shared" ca="1" si="169"/>
        <v>49.25</v>
      </c>
      <c r="S467" s="11">
        <f t="shared" ca="1" si="169"/>
        <v>37.5</v>
      </c>
      <c r="T467" s="11">
        <f t="shared" ca="1" si="169"/>
        <v>25.75</v>
      </c>
      <c r="U467" s="11">
        <f t="shared" ca="1" si="169"/>
        <v>53.5</v>
      </c>
      <c r="V467" s="11">
        <f t="shared" ca="1" si="169"/>
        <v>44.5</v>
      </c>
      <c r="W467" s="11">
        <f t="shared" ca="1" si="169"/>
        <v>36.75</v>
      </c>
      <c r="X467" s="11">
        <f t="shared" ca="1" si="169"/>
        <v>30.25</v>
      </c>
    </row>
    <row r="468" spans="4:24" hidden="1" outlineLevel="2">
      <c r="D468" s="26" t="str">
        <f>"Total "&amp;D466</f>
        <v>Total Opening Balance</v>
      </c>
      <c r="L468" s="59">
        <f t="shared" ref="L468:X468" si="170">SUM(L467:L467)</f>
        <v>50</v>
      </c>
      <c r="M468" s="59">
        <f t="shared" ca="1" si="170"/>
        <v>67.5</v>
      </c>
      <c r="N468" s="59">
        <f t="shared" ca="1" si="170"/>
        <v>58.75</v>
      </c>
      <c r="O468" s="59">
        <f t="shared" ca="1" si="170"/>
        <v>50</v>
      </c>
      <c r="P468" s="59">
        <f t="shared" ca="1" si="170"/>
        <v>41.25</v>
      </c>
      <c r="Q468" s="59">
        <f t="shared" ca="1" si="170"/>
        <v>61</v>
      </c>
      <c r="R468" s="59">
        <f t="shared" ca="1" si="170"/>
        <v>49.25</v>
      </c>
      <c r="S468" s="59">
        <f t="shared" ca="1" si="170"/>
        <v>37.5</v>
      </c>
      <c r="T468" s="59">
        <f t="shared" ca="1" si="170"/>
        <v>25.75</v>
      </c>
      <c r="U468" s="59">
        <f t="shared" ca="1" si="170"/>
        <v>53.5</v>
      </c>
      <c r="V468" s="59">
        <f t="shared" ca="1" si="170"/>
        <v>44.5</v>
      </c>
      <c r="W468" s="59">
        <f t="shared" ca="1" si="170"/>
        <v>36.75</v>
      </c>
      <c r="X468" s="59">
        <f t="shared" ca="1" si="170"/>
        <v>30.25</v>
      </c>
    </row>
    <row r="469" spans="4:24" hidden="1" outlineLevel="2"/>
    <row r="470" spans="4:24" hidden="1" outlineLevel="2">
      <c r="D470" s="25" t="s">
        <v>224</v>
      </c>
    </row>
    <row r="471" spans="4:24" hidden="1" outlineLevel="2">
      <c r="D471" s="28" t="str">
        <f>D467</f>
        <v>Asset Class # 1</v>
      </c>
      <c r="L471" s="11">
        <f t="shared" ref="L471:X471" si="171">L166</f>
        <v>25</v>
      </c>
      <c r="M471" s="11">
        <f t="shared" si="171"/>
        <v>0</v>
      </c>
      <c r="N471" s="11">
        <f t="shared" si="171"/>
        <v>0</v>
      </c>
      <c r="O471" s="11">
        <f t="shared" si="171"/>
        <v>0</v>
      </c>
      <c r="P471" s="11">
        <f t="shared" si="171"/>
        <v>30</v>
      </c>
      <c r="Q471" s="11">
        <f t="shared" si="171"/>
        <v>0</v>
      </c>
      <c r="R471" s="11">
        <f t="shared" si="171"/>
        <v>0</v>
      </c>
      <c r="S471" s="11">
        <f t="shared" si="171"/>
        <v>0</v>
      </c>
      <c r="T471" s="11">
        <f t="shared" si="171"/>
        <v>35</v>
      </c>
      <c r="U471" s="11">
        <f t="shared" si="171"/>
        <v>0</v>
      </c>
      <c r="V471" s="11">
        <f t="shared" si="171"/>
        <v>0</v>
      </c>
      <c r="W471" s="11">
        <f t="shared" si="171"/>
        <v>0</v>
      </c>
      <c r="X471" s="11">
        <f t="shared" si="171"/>
        <v>0</v>
      </c>
    </row>
    <row r="472" spans="4:24" hidden="1" outlineLevel="2">
      <c r="D472" s="26" t="str">
        <f>"Total "&amp;D470</f>
        <v>Total Capex</v>
      </c>
      <c r="L472" s="59">
        <f t="shared" ref="L472:X472" si="172">SUM(L471:L471)</f>
        <v>25</v>
      </c>
      <c r="M472" s="59">
        <f t="shared" si="172"/>
        <v>0</v>
      </c>
      <c r="N472" s="59">
        <f t="shared" si="172"/>
        <v>0</v>
      </c>
      <c r="O472" s="59">
        <f t="shared" si="172"/>
        <v>0</v>
      </c>
      <c r="P472" s="59">
        <f t="shared" si="172"/>
        <v>30</v>
      </c>
      <c r="Q472" s="59">
        <f t="shared" si="172"/>
        <v>0</v>
      </c>
      <c r="R472" s="59">
        <f t="shared" si="172"/>
        <v>0</v>
      </c>
      <c r="S472" s="59">
        <f t="shared" si="172"/>
        <v>0</v>
      </c>
      <c r="T472" s="59">
        <f t="shared" si="172"/>
        <v>35</v>
      </c>
      <c r="U472" s="59">
        <f t="shared" si="172"/>
        <v>0</v>
      </c>
      <c r="V472" s="59">
        <f t="shared" si="172"/>
        <v>0</v>
      </c>
      <c r="W472" s="59">
        <f t="shared" si="172"/>
        <v>0</v>
      </c>
      <c r="X472" s="59">
        <f t="shared" si="172"/>
        <v>0</v>
      </c>
    </row>
    <row r="473" spans="4:24" hidden="1" outlineLevel="2">
      <c r="D473" s="25"/>
    </row>
    <row r="474" spans="4:24" hidden="1" outlineLevel="2">
      <c r="D474" s="25" t="s">
        <v>225</v>
      </c>
    </row>
    <row r="475" spans="4:24" hidden="1" outlineLevel="2">
      <c r="D475" s="28" t="str">
        <f>D467</f>
        <v>Asset Class # 1</v>
      </c>
      <c r="L475" s="11">
        <f t="shared" ref="L475:X475" ca="1" si="173">L167</f>
        <v>-7.5</v>
      </c>
      <c r="M475" s="11">
        <f t="shared" ca="1" si="173"/>
        <v>-8.75</v>
      </c>
      <c r="N475" s="11">
        <f t="shared" ca="1" si="173"/>
        <v>-8.75</v>
      </c>
      <c r="O475" s="11">
        <f t="shared" ca="1" si="173"/>
        <v>-8.75</v>
      </c>
      <c r="P475" s="11">
        <f t="shared" ca="1" si="173"/>
        <v>-10.25</v>
      </c>
      <c r="Q475" s="11">
        <f t="shared" ca="1" si="173"/>
        <v>-11.75</v>
      </c>
      <c r="R475" s="11">
        <f t="shared" ca="1" si="173"/>
        <v>-11.75</v>
      </c>
      <c r="S475" s="11">
        <f t="shared" ca="1" si="173"/>
        <v>-11.75</v>
      </c>
      <c r="T475" s="11">
        <f t="shared" ca="1" si="173"/>
        <v>-7.25</v>
      </c>
      <c r="U475" s="11">
        <f t="shared" ca="1" si="173"/>
        <v>-9</v>
      </c>
      <c r="V475" s="11">
        <f t="shared" ca="1" si="173"/>
        <v>-7.75</v>
      </c>
      <c r="W475" s="11">
        <f t="shared" ca="1" si="173"/>
        <v>-6.5</v>
      </c>
      <c r="X475" s="11">
        <f t="shared" ca="1" si="173"/>
        <v>-6.5</v>
      </c>
    </row>
    <row r="476" spans="4:24" hidden="1" outlineLevel="2">
      <c r="D476" s="26" t="str">
        <f>"Total "&amp;D474</f>
        <v>Total Book Depreciation</v>
      </c>
      <c r="L476" s="59">
        <f t="shared" ref="L476:X476" ca="1" si="174">SUM(L475:L475)</f>
        <v>-7.5</v>
      </c>
      <c r="M476" s="59">
        <f t="shared" ca="1" si="174"/>
        <v>-8.75</v>
      </c>
      <c r="N476" s="59">
        <f t="shared" ca="1" si="174"/>
        <v>-8.75</v>
      </c>
      <c r="O476" s="59">
        <f t="shared" ca="1" si="174"/>
        <v>-8.75</v>
      </c>
      <c r="P476" s="59">
        <f t="shared" ca="1" si="174"/>
        <v>-10.25</v>
      </c>
      <c r="Q476" s="59">
        <f t="shared" ca="1" si="174"/>
        <v>-11.75</v>
      </c>
      <c r="R476" s="59">
        <f t="shared" ca="1" si="174"/>
        <v>-11.75</v>
      </c>
      <c r="S476" s="59">
        <f t="shared" ca="1" si="174"/>
        <v>-11.75</v>
      </c>
      <c r="T476" s="59">
        <f t="shared" ca="1" si="174"/>
        <v>-7.25</v>
      </c>
      <c r="U476" s="59">
        <f t="shared" ca="1" si="174"/>
        <v>-9</v>
      </c>
      <c r="V476" s="59">
        <f t="shared" ca="1" si="174"/>
        <v>-7.75</v>
      </c>
      <c r="W476" s="59">
        <f t="shared" ca="1" si="174"/>
        <v>-6.5</v>
      </c>
      <c r="X476" s="59">
        <f t="shared" ca="1" si="174"/>
        <v>-6.5</v>
      </c>
    </row>
    <row r="477" spans="4:24" hidden="1" outlineLevel="2">
      <c r="D477" s="25"/>
    </row>
    <row r="478" spans="4:24" hidden="1" outlineLevel="2">
      <c r="D478" s="25" t="s">
        <v>77</v>
      </c>
    </row>
    <row r="479" spans="4:24" hidden="1" outlineLevel="2">
      <c r="D479" s="28" t="str">
        <f>D467</f>
        <v>Asset Class # 1</v>
      </c>
      <c r="L479" s="11">
        <f t="shared" ref="L479:X479" ca="1" si="175">L168</f>
        <v>67.5</v>
      </c>
      <c r="M479" s="11">
        <f t="shared" ca="1" si="175"/>
        <v>58.75</v>
      </c>
      <c r="N479" s="11">
        <f t="shared" ca="1" si="175"/>
        <v>50</v>
      </c>
      <c r="O479" s="11">
        <f t="shared" ca="1" si="175"/>
        <v>41.25</v>
      </c>
      <c r="P479" s="11">
        <f t="shared" ca="1" si="175"/>
        <v>61</v>
      </c>
      <c r="Q479" s="11">
        <f t="shared" ca="1" si="175"/>
        <v>49.25</v>
      </c>
      <c r="R479" s="11">
        <f t="shared" ca="1" si="175"/>
        <v>37.5</v>
      </c>
      <c r="S479" s="11">
        <f t="shared" ca="1" si="175"/>
        <v>25.75</v>
      </c>
      <c r="T479" s="11">
        <f t="shared" ca="1" si="175"/>
        <v>53.5</v>
      </c>
      <c r="U479" s="11">
        <f t="shared" ca="1" si="175"/>
        <v>44.5</v>
      </c>
      <c r="V479" s="11">
        <f t="shared" ca="1" si="175"/>
        <v>36.75</v>
      </c>
      <c r="W479" s="11">
        <f t="shared" ca="1" si="175"/>
        <v>30.25</v>
      </c>
      <c r="X479" s="11">
        <f t="shared" ca="1" si="175"/>
        <v>23.75</v>
      </c>
    </row>
    <row r="480" spans="4:24" hidden="1" outlineLevel="2">
      <c r="D480" s="26" t="str">
        <f>"Total "&amp;D478</f>
        <v>Total Closing Balance</v>
      </c>
      <c r="L480" s="22">
        <f t="shared" ref="L480:X480" ca="1" si="176">SUM(L479:L479)</f>
        <v>67.5</v>
      </c>
      <c r="M480" s="22">
        <f t="shared" ca="1" si="176"/>
        <v>58.75</v>
      </c>
      <c r="N480" s="22">
        <f t="shared" ca="1" si="176"/>
        <v>50</v>
      </c>
      <c r="O480" s="22">
        <f t="shared" ca="1" si="176"/>
        <v>41.25</v>
      </c>
      <c r="P480" s="22">
        <f t="shared" ca="1" si="176"/>
        <v>61</v>
      </c>
      <c r="Q480" s="22">
        <f t="shared" ca="1" si="176"/>
        <v>49.25</v>
      </c>
      <c r="R480" s="22">
        <f t="shared" ca="1" si="176"/>
        <v>37.5</v>
      </c>
      <c r="S480" s="22">
        <f t="shared" ca="1" si="176"/>
        <v>25.75</v>
      </c>
      <c r="T480" s="22">
        <f t="shared" ca="1" si="176"/>
        <v>53.5</v>
      </c>
      <c r="U480" s="22">
        <f t="shared" ca="1" si="176"/>
        <v>44.5</v>
      </c>
      <c r="V480" s="22">
        <f t="shared" ca="1" si="176"/>
        <v>36.75</v>
      </c>
      <c r="W480" s="22">
        <f t="shared" ca="1" si="176"/>
        <v>30.25</v>
      </c>
      <c r="X480" s="22">
        <f t="shared" ca="1" si="176"/>
        <v>23.75</v>
      </c>
    </row>
    <row r="481" spans="3:24" collapsed="1"/>
    <row r="482" spans="3:24" s="29" customFormat="1" ht="12">
      <c r="C482" s="30" t="str">
        <f>C170</f>
        <v>Debt</v>
      </c>
    </row>
    <row r="483" spans="3:24" hidden="1" outlineLevel="2"/>
    <row r="484" spans="3:24" hidden="1" outlineLevel="2">
      <c r="D484" s="53" t="s">
        <v>226</v>
      </c>
    </row>
    <row r="485" spans="3:24" hidden="1" outlineLevel="2"/>
    <row r="486" spans="3:24" hidden="1" outlineLevel="2">
      <c r="D486" s="25" t="s">
        <v>74</v>
      </c>
    </row>
    <row r="487" spans="3:24" hidden="1" outlineLevel="2">
      <c r="D487" s="28" t="str">
        <f>$D$172</f>
        <v>Debt Category 1</v>
      </c>
      <c r="L487" s="11">
        <f t="shared" ref="L487:X487" si="177">L176</f>
        <v>15</v>
      </c>
      <c r="M487" s="11">
        <f t="shared" si="177"/>
        <v>40</v>
      </c>
      <c r="N487" s="11">
        <f t="shared" si="177"/>
        <v>40</v>
      </c>
      <c r="O487" s="11">
        <f t="shared" si="177"/>
        <v>40</v>
      </c>
      <c r="P487" s="11">
        <f t="shared" si="177"/>
        <v>40</v>
      </c>
      <c r="Q487" s="11">
        <f t="shared" si="177"/>
        <v>70</v>
      </c>
      <c r="R487" s="11">
        <f t="shared" si="177"/>
        <v>70</v>
      </c>
      <c r="S487" s="11">
        <f t="shared" si="177"/>
        <v>70</v>
      </c>
      <c r="T487" s="11">
        <f t="shared" si="177"/>
        <v>70</v>
      </c>
      <c r="U487" s="11">
        <f t="shared" si="177"/>
        <v>105</v>
      </c>
      <c r="V487" s="11">
        <f t="shared" si="177"/>
        <v>105</v>
      </c>
      <c r="W487" s="11">
        <f t="shared" si="177"/>
        <v>105</v>
      </c>
      <c r="X487" s="11">
        <f t="shared" si="177"/>
        <v>105</v>
      </c>
    </row>
    <row r="488" spans="3:24" hidden="1" outlineLevel="2">
      <c r="D488" s="26" t="str">
        <f>"Total "&amp;D486</f>
        <v>Total Opening Balance</v>
      </c>
      <c r="L488" s="59">
        <f t="shared" ref="L488:X488" si="178">SUM(L487:L487)</f>
        <v>15</v>
      </c>
      <c r="M488" s="59">
        <f t="shared" si="178"/>
        <v>40</v>
      </c>
      <c r="N488" s="59">
        <f t="shared" si="178"/>
        <v>40</v>
      </c>
      <c r="O488" s="59">
        <f t="shared" si="178"/>
        <v>40</v>
      </c>
      <c r="P488" s="59">
        <f t="shared" si="178"/>
        <v>40</v>
      </c>
      <c r="Q488" s="59">
        <f t="shared" si="178"/>
        <v>70</v>
      </c>
      <c r="R488" s="59">
        <f t="shared" si="178"/>
        <v>70</v>
      </c>
      <c r="S488" s="59">
        <f t="shared" si="178"/>
        <v>70</v>
      </c>
      <c r="T488" s="59">
        <f t="shared" si="178"/>
        <v>70</v>
      </c>
      <c r="U488" s="59">
        <f t="shared" si="178"/>
        <v>105</v>
      </c>
      <c r="V488" s="59">
        <f t="shared" si="178"/>
        <v>105</v>
      </c>
      <c r="W488" s="59">
        <f t="shared" si="178"/>
        <v>105</v>
      </c>
      <c r="X488" s="59">
        <f t="shared" si="178"/>
        <v>105</v>
      </c>
    </row>
    <row r="489" spans="3:24" hidden="1" outlineLevel="2"/>
    <row r="490" spans="3:24" hidden="1" outlineLevel="2">
      <c r="D490" s="25" t="s">
        <v>116</v>
      </c>
    </row>
    <row r="491" spans="3:24" hidden="1" outlineLevel="2">
      <c r="D491" s="28" t="str">
        <f>$D$172</f>
        <v>Debt Category 1</v>
      </c>
      <c r="L491" s="11">
        <f t="shared" ref="L491:X491" si="179">L177</f>
        <v>25</v>
      </c>
      <c r="M491" s="11">
        <f t="shared" si="179"/>
        <v>0</v>
      </c>
      <c r="N491" s="11">
        <f t="shared" si="179"/>
        <v>0</v>
      </c>
      <c r="O491" s="11">
        <f t="shared" si="179"/>
        <v>0</v>
      </c>
      <c r="P491" s="11">
        <f t="shared" si="179"/>
        <v>30</v>
      </c>
      <c r="Q491" s="11">
        <f t="shared" si="179"/>
        <v>0</v>
      </c>
      <c r="R491" s="11">
        <f t="shared" si="179"/>
        <v>0</v>
      </c>
      <c r="S491" s="11">
        <f t="shared" si="179"/>
        <v>0</v>
      </c>
      <c r="T491" s="11">
        <f t="shared" si="179"/>
        <v>35</v>
      </c>
      <c r="U491" s="11">
        <f t="shared" si="179"/>
        <v>0</v>
      </c>
      <c r="V491" s="11">
        <f t="shared" si="179"/>
        <v>0</v>
      </c>
      <c r="W491" s="11">
        <f t="shared" si="179"/>
        <v>0</v>
      </c>
      <c r="X491" s="11">
        <f t="shared" si="179"/>
        <v>0</v>
      </c>
    </row>
    <row r="492" spans="3:24" hidden="1" outlineLevel="2">
      <c r="D492" s="26" t="str">
        <f>"Total "&amp;D490</f>
        <v>Total Drawdown</v>
      </c>
      <c r="L492" s="59">
        <f t="shared" ref="L492:X492" si="180">SUM(L491:L491)</f>
        <v>25</v>
      </c>
      <c r="M492" s="59">
        <f t="shared" si="180"/>
        <v>0</v>
      </c>
      <c r="N492" s="59">
        <f t="shared" si="180"/>
        <v>0</v>
      </c>
      <c r="O492" s="59">
        <f t="shared" si="180"/>
        <v>0</v>
      </c>
      <c r="P492" s="59">
        <f t="shared" si="180"/>
        <v>30</v>
      </c>
      <c r="Q492" s="59">
        <f t="shared" si="180"/>
        <v>0</v>
      </c>
      <c r="R492" s="59">
        <f t="shared" si="180"/>
        <v>0</v>
      </c>
      <c r="S492" s="59">
        <f t="shared" si="180"/>
        <v>0</v>
      </c>
      <c r="T492" s="59">
        <f t="shared" si="180"/>
        <v>35</v>
      </c>
      <c r="U492" s="59">
        <f t="shared" si="180"/>
        <v>0</v>
      </c>
      <c r="V492" s="59">
        <f t="shared" si="180"/>
        <v>0</v>
      </c>
      <c r="W492" s="59">
        <f t="shared" si="180"/>
        <v>0</v>
      </c>
      <c r="X492" s="59">
        <f t="shared" si="180"/>
        <v>0</v>
      </c>
    </row>
    <row r="493" spans="3:24" hidden="1" outlineLevel="2">
      <c r="D493" s="25"/>
    </row>
    <row r="494" spans="3:24" hidden="1" outlineLevel="2">
      <c r="D494" s="25" t="s">
        <v>117</v>
      </c>
    </row>
    <row r="495" spans="3:24" hidden="1" outlineLevel="2">
      <c r="D495" s="28" t="str">
        <f>$D$172</f>
        <v>Debt Category 1</v>
      </c>
      <c r="L495" s="11">
        <f t="shared" ref="L495:X495" si="181">L178</f>
        <v>0</v>
      </c>
      <c r="M495" s="11">
        <f t="shared" si="181"/>
        <v>0</v>
      </c>
      <c r="N495" s="11">
        <f t="shared" si="181"/>
        <v>0</v>
      </c>
      <c r="O495" s="11">
        <f t="shared" si="181"/>
        <v>0</v>
      </c>
      <c r="P495" s="11">
        <f t="shared" si="181"/>
        <v>0</v>
      </c>
      <c r="Q495" s="11">
        <f t="shared" si="181"/>
        <v>0</v>
      </c>
      <c r="R495" s="11">
        <f t="shared" si="181"/>
        <v>0</v>
      </c>
      <c r="S495" s="11">
        <f t="shared" si="181"/>
        <v>0</v>
      </c>
      <c r="T495" s="11">
        <f t="shared" si="181"/>
        <v>0</v>
      </c>
      <c r="U495" s="11">
        <f t="shared" si="181"/>
        <v>0</v>
      </c>
      <c r="V495" s="11">
        <f t="shared" si="181"/>
        <v>0</v>
      </c>
      <c r="W495" s="11">
        <f t="shared" si="181"/>
        <v>0</v>
      </c>
      <c r="X495" s="11">
        <f t="shared" si="181"/>
        <v>0</v>
      </c>
    </row>
    <row r="496" spans="3:24" hidden="1" outlineLevel="2">
      <c r="D496" s="26" t="str">
        <f>"Total "&amp;D494</f>
        <v>Total Repayment</v>
      </c>
      <c r="L496" s="59">
        <f t="shared" ref="L496:X496" si="182">SUM(L495:L495)</f>
        <v>0</v>
      </c>
      <c r="M496" s="59">
        <f t="shared" si="182"/>
        <v>0</v>
      </c>
      <c r="N496" s="59">
        <f t="shared" si="182"/>
        <v>0</v>
      </c>
      <c r="O496" s="59">
        <f t="shared" si="182"/>
        <v>0</v>
      </c>
      <c r="P496" s="59">
        <f t="shared" si="182"/>
        <v>0</v>
      </c>
      <c r="Q496" s="59">
        <f t="shared" si="182"/>
        <v>0</v>
      </c>
      <c r="R496" s="59">
        <f t="shared" si="182"/>
        <v>0</v>
      </c>
      <c r="S496" s="59">
        <f t="shared" si="182"/>
        <v>0</v>
      </c>
      <c r="T496" s="59">
        <f t="shared" si="182"/>
        <v>0</v>
      </c>
      <c r="U496" s="59">
        <f t="shared" si="182"/>
        <v>0</v>
      </c>
      <c r="V496" s="59">
        <f t="shared" si="182"/>
        <v>0</v>
      </c>
      <c r="W496" s="59">
        <f t="shared" si="182"/>
        <v>0</v>
      </c>
      <c r="X496" s="59">
        <f t="shared" si="182"/>
        <v>0</v>
      </c>
    </row>
    <row r="497" spans="4:24" hidden="1" outlineLevel="2">
      <c r="D497" s="25"/>
    </row>
    <row r="498" spans="4:24" hidden="1" outlineLevel="2">
      <c r="D498" s="25" t="s">
        <v>77</v>
      </c>
    </row>
    <row r="499" spans="4:24" hidden="1" outlineLevel="2">
      <c r="D499" s="28" t="str">
        <f>$D$172</f>
        <v>Debt Category 1</v>
      </c>
      <c r="L499" s="11">
        <f t="shared" ref="L499:X499" si="183">L179</f>
        <v>40</v>
      </c>
      <c r="M499" s="11">
        <f t="shared" si="183"/>
        <v>40</v>
      </c>
      <c r="N499" s="11">
        <f t="shared" si="183"/>
        <v>40</v>
      </c>
      <c r="O499" s="11">
        <f t="shared" si="183"/>
        <v>40</v>
      </c>
      <c r="P499" s="11">
        <f t="shared" si="183"/>
        <v>70</v>
      </c>
      <c r="Q499" s="11">
        <f t="shared" si="183"/>
        <v>70</v>
      </c>
      <c r="R499" s="11">
        <f t="shared" si="183"/>
        <v>70</v>
      </c>
      <c r="S499" s="11">
        <f t="shared" si="183"/>
        <v>70</v>
      </c>
      <c r="T499" s="11">
        <f t="shared" si="183"/>
        <v>105</v>
      </c>
      <c r="U499" s="11">
        <f t="shared" si="183"/>
        <v>105</v>
      </c>
      <c r="V499" s="11">
        <f t="shared" si="183"/>
        <v>105</v>
      </c>
      <c r="W499" s="11">
        <f t="shared" si="183"/>
        <v>105</v>
      </c>
      <c r="X499" s="11">
        <f t="shared" si="183"/>
        <v>105</v>
      </c>
    </row>
    <row r="500" spans="4:24" hidden="1" outlineLevel="2">
      <c r="D500" s="26" t="str">
        <f>"Total "&amp;D498</f>
        <v>Total Closing Balance</v>
      </c>
      <c r="L500" s="22">
        <f t="shared" ref="L500:X500" si="184">SUM(L499:L499)</f>
        <v>40</v>
      </c>
      <c r="M500" s="22">
        <f t="shared" si="184"/>
        <v>40</v>
      </c>
      <c r="N500" s="22">
        <f t="shared" si="184"/>
        <v>40</v>
      </c>
      <c r="O500" s="22">
        <f t="shared" si="184"/>
        <v>40</v>
      </c>
      <c r="P500" s="22">
        <f t="shared" si="184"/>
        <v>70</v>
      </c>
      <c r="Q500" s="22">
        <f t="shared" si="184"/>
        <v>70</v>
      </c>
      <c r="R500" s="22">
        <f t="shared" si="184"/>
        <v>70</v>
      </c>
      <c r="S500" s="22">
        <f t="shared" si="184"/>
        <v>70</v>
      </c>
      <c r="T500" s="22">
        <f t="shared" si="184"/>
        <v>105</v>
      </c>
      <c r="U500" s="22">
        <f t="shared" si="184"/>
        <v>105</v>
      </c>
      <c r="V500" s="22">
        <f t="shared" si="184"/>
        <v>105</v>
      </c>
      <c r="W500" s="22">
        <f t="shared" si="184"/>
        <v>105</v>
      </c>
      <c r="X500" s="22">
        <f t="shared" si="184"/>
        <v>105</v>
      </c>
    </row>
    <row r="501" spans="4:24" hidden="1" outlineLevel="2"/>
    <row r="502" spans="4:24" hidden="1" outlineLevel="2">
      <c r="D502" s="53" t="s">
        <v>121</v>
      </c>
    </row>
    <row r="503" spans="4:24" hidden="1" outlineLevel="2"/>
    <row r="504" spans="4:24" hidden="1" outlineLevel="2">
      <c r="D504" s="25" t="s">
        <v>74</v>
      </c>
    </row>
    <row r="505" spans="4:24" hidden="1" outlineLevel="2">
      <c r="D505" s="28" t="str">
        <f>$D$172</f>
        <v>Debt Category 1</v>
      </c>
      <c r="L505" s="11">
        <f t="shared" ref="L505:X505" si="185">L185</f>
        <v>2</v>
      </c>
      <c r="M505" s="11">
        <f t="shared" si="185"/>
        <v>1.9999999999999998</v>
      </c>
      <c r="N505" s="11">
        <f t="shared" si="185"/>
        <v>2</v>
      </c>
      <c r="O505" s="11">
        <f t="shared" si="185"/>
        <v>2</v>
      </c>
      <c r="P505" s="11">
        <f t="shared" si="185"/>
        <v>2</v>
      </c>
      <c r="Q505" s="11">
        <f t="shared" si="185"/>
        <v>1.9999999999999996</v>
      </c>
      <c r="R505" s="11">
        <f t="shared" si="185"/>
        <v>1.9999999999999996</v>
      </c>
      <c r="S505" s="11">
        <f t="shared" si="185"/>
        <v>1.9999999999999996</v>
      </c>
      <c r="T505" s="11">
        <f t="shared" si="185"/>
        <v>1.9999999999999996</v>
      </c>
      <c r="U505" s="11">
        <f t="shared" si="185"/>
        <v>2</v>
      </c>
      <c r="V505" s="11">
        <f t="shared" si="185"/>
        <v>2</v>
      </c>
      <c r="W505" s="11">
        <f t="shared" si="185"/>
        <v>2</v>
      </c>
      <c r="X505" s="11">
        <f t="shared" si="185"/>
        <v>2</v>
      </c>
    </row>
    <row r="506" spans="4:24" hidden="1" outlineLevel="2">
      <c r="D506" s="26" t="str">
        <f>"Total "&amp;D504</f>
        <v>Total Opening Balance</v>
      </c>
      <c r="L506" s="59">
        <f t="shared" ref="L506:X506" si="186">SUM(L505:L505)</f>
        <v>2</v>
      </c>
      <c r="M506" s="59">
        <f t="shared" si="186"/>
        <v>1.9999999999999998</v>
      </c>
      <c r="N506" s="59">
        <f t="shared" si="186"/>
        <v>2</v>
      </c>
      <c r="O506" s="59">
        <f t="shared" si="186"/>
        <v>2</v>
      </c>
      <c r="P506" s="59">
        <f t="shared" si="186"/>
        <v>2</v>
      </c>
      <c r="Q506" s="59">
        <f t="shared" si="186"/>
        <v>1.9999999999999996</v>
      </c>
      <c r="R506" s="59">
        <f t="shared" si="186"/>
        <v>1.9999999999999996</v>
      </c>
      <c r="S506" s="59">
        <f t="shared" si="186"/>
        <v>1.9999999999999996</v>
      </c>
      <c r="T506" s="59">
        <f t="shared" si="186"/>
        <v>1.9999999999999996</v>
      </c>
      <c r="U506" s="59">
        <f t="shared" si="186"/>
        <v>2</v>
      </c>
      <c r="V506" s="59">
        <f t="shared" si="186"/>
        <v>2</v>
      </c>
      <c r="W506" s="59">
        <f t="shared" si="186"/>
        <v>2</v>
      </c>
      <c r="X506" s="59">
        <f t="shared" si="186"/>
        <v>2</v>
      </c>
    </row>
    <row r="507" spans="4:24" hidden="1" outlineLevel="2"/>
    <row r="508" spans="4:24" hidden="1" outlineLevel="2">
      <c r="D508" s="25" t="s">
        <v>121</v>
      </c>
    </row>
    <row r="509" spans="4:24" hidden="1" outlineLevel="2">
      <c r="D509" s="28" t="str">
        <f>$D$172</f>
        <v>Debt Category 1</v>
      </c>
      <c r="L509" s="11">
        <f t="shared" ref="L509:X509" si="187">L186</f>
        <v>1.2375</v>
      </c>
      <c r="M509" s="11">
        <f t="shared" si="187"/>
        <v>1.7999999999999998</v>
      </c>
      <c r="N509" s="11">
        <f t="shared" si="187"/>
        <v>1.7999999999999998</v>
      </c>
      <c r="O509" s="11">
        <f t="shared" si="187"/>
        <v>1.7999999999999998</v>
      </c>
      <c r="P509" s="11">
        <f t="shared" si="187"/>
        <v>2.4750000000000001</v>
      </c>
      <c r="Q509" s="11">
        <f t="shared" si="187"/>
        <v>3.15</v>
      </c>
      <c r="R509" s="11">
        <f t="shared" si="187"/>
        <v>3.15</v>
      </c>
      <c r="S509" s="11">
        <f t="shared" si="187"/>
        <v>3.15</v>
      </c>
      <c r="T509" s="11">
        <f t="shared" si="187"/>
        <v>3.9375</v>
      </c>
      <c r="U509" s="11">
        <f t="shared" si="187"/>
        <v>4.7249999999999996</v>
      </c>
      <c r="V509" s="11">
        <f t="shared" si="187"/>
        <v>4.7249999999999996</v>
      </c>
      <c r="W509" s="11">
        <f t="shared" si="187"/>
        <v>4.7249999999999996</v>
      </c>
      <c r="X509" s="11">
        <f t="shared" si="187"/>
        <v>4.7249999999999996</v>
      </c>
    </row>
    <row r="510" spans="4:24" hidden="1" outlineLevel="2">
      <c r="D510" s="26" t="str">
        <f>"Total "&amp;D508</f>
        <v>Total Interest Expense</v>
      </c>
      <c r="L510" s="59">
        <f t="shared" ref="L510:X510" si="188">SUM(L509:L509)</f>
        <v>1.2375</v>
      </c>
      <c r="M510" s="59">
        <f t="shared" si="188"/>
        <v>1.7999999999999998</v>
      </c>
      <c r="N510" s="59">
        <f t="shared" si="188"/>
        <v>1.7999999999999998</v>
      </c>
      <c r="O510" s="59">
        <f t="shared" si="188"/>
        <v>1.7999999999999998</v>
      </c>
      <c r="P510" s="59">
        <f t="shared" si="188"/>
        <v>2.4750000000000001</v>
      </c>
      <c r="Q510" s="59">
        <f t="shared" si="188"/>
        <v>3.15</v>
      </c>
      <c r="R510" s="59">
        <f t="shared" si="188"/>
        <v>3.15</v>
      </c>
      <c r="S510" s="59">
        <f t="shared" si="188"/>
        <v>3.15</v>
      </c>
      <c r="T510" s="59">
        <f t="shared" si="188"/>
        <v>3.9375</v>
      </c>
      <c r="U510" s="59">
        <f t="shared" si="188"/>
        <v>4.7249999999999996</v>
      </c>
      <c r="V510" s="59">
        <f t="shared" si="188"/>
        <v>4.7249999999999996</v>
      </c>
      <c r="W510" s="59">
        <f t="shared" si="188"/>
        <v>4.7249999999999996</v>
      </c>
      <c r="X510" s="59">
        <f t="shared" si="188"/>
        <v>4.7249999999999996</v>
      </c>
    </row>
    <row r="511" spans="4:24" hidden="1" outlineLevel="2">
      <c r="D511" s="25"/>
    </row>
    <row r="512" spans="4:24" hidden="1" outlineLevel="2">
      <c r="D512" s="25" t="s">
        <v>122</v>
      </c>
    </row>
    <row r="513" spans="3:24" hidden="1" outlineLevel="2">
      <c r="D513" s="28" t="str">
        <f>$D$172</f>
        <v>Debt Category 1</v>
      </c>
      <c r="L513" s="11">
        <f t="shared" ref="L513:X513" si="189">L187</f>
        <v>-1.2375</v>
      </c>
      <c r="M513" s="11">
        <f t="shared" si="189"/>
        <v>-1.7999999999999998</v>
      </c>
      <c r="N513" s="11">
        <f t="shared" si="189"/>
        <v>-1.7999999999999998</v>
      </c>
      <c r="O513" s="11">
        <f t="shared" si="189"/>
        <v>-1.7999999999999998</v>
      </c>
      <c r="P513" s="11">
        <f t="shared" si="189"/>
        <v>-2.4750000000000001</v>
      </c>
      <c r="Q513" s="11">
        <f t="shared" si="189"/>
        <v>-3.15</v>
      </c>
      <c r="R513" s="11">
        <f t="shared" si="189"/>
        <v>-3.15</v>
      </c>
      <c r="S513" s="11">
        <f t="shared" si="189"/>
        <v>-3.15</v>
      </c>
      <c r="T513" s="11">
        <f t="shared" si="189"/>
        <v>-3.9375</v>
      </c>
      <c r="U513" s="11">
        <f t="shared" si="189"/>
        <v>-4.7249999999999996</v>
      </c>
      <c r="V513" s="11">
        <f t="shared" si="189"/>
        <v>-4.7249999999999996</v>
      </c>
      <c r="W513" s="11">
        <f t="shared" si="189"/>
        <v>-4.7249999999999996</v>
      </c>
      <c r="X513" s="11">
        <f t="shared" si="189"/>
        <v>-4.7249999999999996</v>
      </c>
    </row>
    <row r="514" spans="3:24" hidden="1" outlineLevel="2">
      <c r="D514" s="26" t="str">
        <f>"Total "&amp;D512</f>
        <v>Total Interest Paid</v>
      </c>
      <c r="L514" s="59">
        <f t="shared" ref="L514:X514" si="190">SUM(L513:L513)</f>
        <v>-1.2375</v>
      </c>
      <c r="M514" s="59">
        <f t="shared" si="190"/>
        <v>-1.7999999999999998</v>
      </c>
      <c r="N514" s="59">
        <f t="shared" si="190"/>
        <v>-1.7999999999999998</v>
      </c>
      <c r="O514" s="59">
        <f t="shared" si="190"/>
        <v>-1.7999999999999998</v>
      </c>
      <c r="P514" s="59">
        <f t="shared" si="190"/>
        <v>-2.4750000000000001</v>
      </c>
      <c r="Q514" s="59">
        <f t="shared" si="190"/>
        <v>-3.15</v>
      </c>
      <c r="R514" s="59">
        <f t="shared" si="190"/>
        <v>-3.15</v>
      </c>
      <c r="S514" s="59">
        <f t="shared" si="190"/>
        <v>-3.15</v>
      </c>
      <c r="T514" s="59">
        <f t="shared" si="190"/>
        <v>-3.9375</v>
      </c>
      <c r="U514" s="59">
        <f t="shared" si="190"/>
        <v>-4.7249999999999996</v>
      </c>
      <c r="V514" s="59">
        <f t="shared" si="190"/>
        <v>-4.7249999999999996</v>
      </c>
      <c r="W514" s="59">
        <f t="shared" si="190"/>
        <v>-4.7249999999999996</v>
      </c>
      <c r="X514" s="59">
        <f t="shared" si="190"/>
        <v>-4.7249999999999996</v>
      </c>
    </row>
    <row r="515" spans="3:24" hidden="1" outlineLevel="2">
      <c r="D515" s="25"/>
    </row>
    <row r="516" spans="3:24" hidden="1" outlineLevel="2">
      <c r="D516" s="25" t="s">
        <v>77</v>
      </c>
    </row>
    <row r="517" spans="3:24" hidden="1" outlineLevel="2">
      <c r="D517" s="28" t="str">
        <f>$D$172</f>
        <v>Debt Category 1</v>
      </c>
      <c r="L517" s="11">
        <f t="shared" ref="L517:X517" si="191">L188</f>
        <v>1.9999999999999998</v>
      </c>
      <c r="M517" s="11">
        <f t="shared" si="191"/>
        <v>2</v>
      </c>
      <c r="N517" s="11">
        <f t="shared" si="191"/>
        <v>2</v>
      </c>
      <c r="O517" s="11">
        <f t="shared" si="191"/>
        <v>2</v>
      </c>
      <c r="P517" s="11">
        <f t="shared" si="191"/>
        <v>1.9999999999999996</v>
      </c>
      <c r="Q517" s="11">
        <f t="shared" si="191"/>
        <v>1.9999999999999996</v>
      </c>
      <c r="R517" s="11">
        <f t="shared" si="191"/>
        <v>1.9999999999999996</v>
      </c>
      <c r="S517" s="11">
        <f t="shared" si="191"/>
        <v>1.9999999999999996</v>
      </c>
      <c r="T517" s="11">
        <f t="shared" si="191"/>
        <v>2</v>
      </c>
      <c r="U517" s="11">
        <f t="shared" si="191"/>
        <v>2</v>
      </c>
      <c r="V517" s="11">
        <f t="shared" si="191"/>
        <v>2</v>
      </c>
      <c r="W517" s="11">
        <f t="shared" si="191"/>
        <v>2</v>
      </c>
      <c r="X517" s="11">
        <f t="shared" si="191"/>
        <v>2</v>
      </c>
    </row>
    <row r="518" spans="3:24" hidden="1" outlineLevel="2">
      <c r="D518" s="26" t="str">
        <f>"Total "&amp;D516</f>
        <v>Total Closing Balance</v>
      </c>
      <c r="L518" s="22">
        <f t="shared" ref="L518:X518" si="192">SUM(L517:L517)</f>
        <v>1.9999999999999998</v>
      </c>
      <c r="M518" s="22">
        <f t="shared" si="192"/>
        <v>2</v>
      </c>
      <c r="N518" s="22">
        <f t="shared" si="192"/>
        <v>2</v>
      </c>
      <c r="O518" s="22">
        <f t="shared" si="192"/>
        <v>2</v>
      </c>
      <c r="P518" s="22">
        <f t="shared" si="192"/>
        <v>1.9999999999999996</v>
      </c>
      <c r="Q518" s="22">
        <f t="shared" si="192"/>
        <v>1.9999999999999996</v>
      </c>
      <c r="R518" s="22">
        <f t="shared" si="192"/>
        <v>1.9999999999999996</v>
      </c>
      <c r="S518" s="22">
        <f t="shared" si="192"/>
        <v>1.9999999999999996</v>
      </c>
      <c r="T518" s="22">
        <f t="shared" si="192"/>
        <v>2</v>
      </c>
      <c r="U518" s="22">
        <f t="shared" si="192"/>
        <v>2</v>
      </c>
      <c r="V518" s="22">
        <f t="shared" si="192"/>
        <v>2</v>
      </c>
      <c r="W518" s="22">
        <f t="shared" si="192"/>
        <v>2</v>
      </c>
      <c r="X518" s="22">
        <f t="shared" si="192"/>
        <v>2</v>
      </c>
    </row>
    <row r="519" spans="3:24" collapsed="1"/>
    <row r="520" spans="3:24" s="29" customFormat="1" ht="12">
      <c r="C520" s="30" t="str">
        <f>$C$190</f>
        <v>Equity</v>
      </c>
    </row>
    <row r="521" spans="3:24" hidden="1" outlineLevel="2"/>
    <row r="522" spans="3:24" hidden="1" outlineLevel="2">
      <c r="D522" s="60" t="s">
        <v>227</v>
      </c>
    </row>
    <row r="523" spans="3:24" hidden="1" outlineLevel="2">
      <c r="D523" s="28" t="str">
        <f>D192</f>
        <v>Opening Ordinary Equity</v>
      </c>
      <c r="L523" s="11">
        <f t="shared" ref="L523:X523" si="193">L192</f>
        <v>40</v>
      </c>
      <c r="M523" s="11">
        <f t="shared" si="193"/>
        <v>40</v>
      </c>
      <c r="N523" s="11">
        <f t="shared" si="193"/>
        <v>40</v>
      </c>
      <c r="O523" s="11">
        <f t="shared" si="193"/>
        <v>40</v>
      </c>
      <c r="P523" s="11">
        <f t="shared" si="193"/>
        <v>40</v>
      </c>
      <c r="Q523" s="11">
        <f t="shared" si="193"/>
        <v>40</v>
      </c>
      <c r="R523" s="11">
        <f t="shared" si="193"/>
        <v>40</v>
      </c>
      <c r="S523" s="11">
        <f t="shared" si="193"/>
        <v>40</v>
      </c>
      <c r="T523" s="11">
        <f t="shared" si="193"/>
        <v>40</v>
      </c>
      <c r="U523" s="11">
        <f t="shared" si="193"/>
        <v>40</v>
      </c>
      <c r="V523" s="11">
        <f t="shared" si="193"/>
        <v>40</v>
      </c>
      <c r="W523" s="11">
        <f t="shared" si="193"/>
        <v>40</v>
      </c>
      <c r="X523" s="11">
        <f t="shared" si="193"/>
        <v>40</v>
      </c>
    </row>
    <row r="524" spans="3:24" hidden="1" outlineLevel="2">
      <c r="D524" s="28" t="str">
        <f>D193</f>
        <v>Ordinary Equity Raisings</v>
      </c>
      <c r="L524" s="11">
        <f t="shared" ref="L524:X524" si="194">L193</f>
        <v>0</v>
      </c>
      <c r="M524" s="11">
        <f t="shared" si="194"/>
        <v>0</v>
      </c>
      <c r="N524" s="11">
        <f t="shared" si="194"/>
        <v>0</v>
      </c>
      <c r="O524" s="11">
        <f t="shared" si="194"/>
        <v>0</v>
      </c>
      <c r="P524" s="11">
        <f t="shared" si="194"/>
        <v>0</v>
      </c>
      <c r="Q524" s="11">
        <f t="shared" si="194"/>
        <v>0</v>
      </c>
      <c r="R524" s="11">
        <f t="shared" si="194"/>
        <v>0</v>
      </c>
      <c r="S524" s="11">
        <f t="shared" si="194"/>
        <v>0</v>
      </c>
      <c r="T524" s="11">
        <f t="shared" si="194"/>
        <v>0</v>
      </c>
      <c r="U524" s="11">
        <f t="shared" si="194"/>
        <v>0</v>
      </c>
      <c r="V524" s="11">
        <f t="shared" si="194"/>
        <v>0</v>
      </c>
      <c r="W524" s="11">
        <f t="shared" si="194"/>
        <v>0</v>
      </c>
      <c r="X524" s="11">
        <f t="shared" si="194"/>
        <v>0</v>
      </c>
    </row>
    <row r="525" spans="3:24" hidden="1" outlineLevel="2">
      <c r="D525" s="28" t="str">
        <f>D194</f>
        <v>Ordinary Equity Repayments</v>
      </c>
      <c r="L525" s="11">
        <f t="shared" ref="L525:X525" si="195">L194</f>
        <v>0</v>
      </c>
      <c r="M525" s="11">
        <f t="shared" si="195"/>
        <v>0</v>
      </c>
      <c r="N525" s="11">
        <f t="shared" si="195"/>
        <v>0</v>
      </c>
      <c r="O525" s="11">
        <f t="shared" si="195"/>
        <v>0</v>
      </c>
      <c r="P525" s="11">
        <f t="shared" si="195"/>
        <v>0</v>
      </c>
      <c r="Q525" s="11">
        <f t="shared" si="195"/>
        <v>0</v>
      </c>
      <c r="R525" s="11">
        <f t="shared" si="195"/>
        <v>0</v>
      </c>
      <c r="S525" s="11">
        <f t="shared" si="195"/>
        <v>0</v>
      </c>
      <c r="T525" s="11">
        <f t="shared" si="195"/>
        <v>0</v>
      </c>
      <c r="U525" s="11">
        <f t="shared" si="195"/>
        <v>0</v>
      </c>
      <c r="V525" s="11">
        <f t="shared" si="195"/>
        <v>0</v>
      </c>
      <c r="W525" s="11">
        <f t="shared" si="195"/>
        <v>0</v>
      </c>
      <c r="X525" s="11">
        <f t="shared" si="195"/>
        <v>0</v>
      </c>
    </row>
    <row r="526" spans="3:24" hidden="1" outlineLevel="2">
      <c r="D526" s="28" t="str">
        <f>D195</f>
        <v>Closing Ordinary Equity</v>
      </c>
      <c r="L526" s="18">
        <f>SUM(L523:L525)</f>
        <v>40</v>
      </c>
      <c r="M526" s="18">
        <f t="shared" ref="M526:X526" si="196">SUM(M523:M525)</f>
        <v>40</v>
      </c>
      <c r="N526" s="18">
        <f t="shared" si="196"/>
        <v>40</v>
      </c>
      <c r="O526" s="18">
        <f t="shared" si="196"/>
        <v>40</v>
      </c>
      <c r="P526" s="18">
        <f t="shared" si="196"/>
        <v>40</v>
      </c>
      <c r="Q526" s="18">
        <f t="shared" si="196"/>
        <v>40</v>
      </c>
      <c r="R526" s="18">
        <f t="shared" si="196"/>
        <v>40</v>
      </c>
      <c r="S526" s="18">
        <f t="shared" si="196"/>
        <v>40</v>
      </c>
      <c r="T526" s="18">
        <f t="shared" si="196"/>
        <v>40</v>
      </c>
      <c r="U526" s="18">
        <f t="shared" si="196"/>
        <v>40</v>
      </c>
      <c r="V526" s="18">
        <f t="shared" si="196"/>
        <v>40</v>
      </c>
      <c r="W526" s="18">
        <f t="shared" si="196"/>
        <v>40</v>
      </c>
      <c r="X526" s="18">
        <f t="shared" si="196"/>
        <v>40</v>
      </c>
    </row>
    <row r="527" spans="3:24" hidden="1" outlineLevel="2"/>
    <row r="528" spans="3:24" hidden="1" outlineLevel="2">
      <c r="D528" s="60" t="s">
        <v>228</v>
      </c>
    </row>
    <row r="529" spans="3:24" hidden="1" outlineLevel="2">
      <c r="D529" s="28" t="str">
        <f>D200</f>
        <v>Opening Dividends Payable</v>
      </c>
      <c r="L529" s="11">
        <f t="shared" ref="L529:X529" si="197">L200</f>
        <v>1.5</v>
      </c>
      <c r="M529" s="11">
        <f t="shared" ca="1" si="197"/>
        <v>0</v>
      </c>
      <c r="N529" s="11">
        <f t="shared" ca="1" si="197"/>
        <v>0</v>
      </c>
      <c r="O529" s="11">
        <f t="shared" ca="1" si="197"/>
        <v>0</v>
      </c>
      <c r="P529" s="11">
        <f t="shared" ca="1" si="197"/>
        <v>0</v>
      </c>
      <c r="Q529" s="11">
        <f t="shared" ca="1" si="197"/>
        <v>0</v>
      </c>
      <c r="R529" s="11" t="e">
        <f t="shared" ca="1" si="197"/>
        <v>#VALUE!</v>
      </c>
      <c r="S529" s="11" t="e">
        <f t="shared" ca="1" si="197"/>
        <v>#VALUE!</v>
      </c>
      <c r="T529" s="11" t="e">
        <f t="shared" ca="1" si="197"/>
        <v>#VALUE!</v>
      </c>
      <c r="U529" s="11" t="e">
        <f t="shared" ca="1" si="197"/>
        <v>#VALUE!</v>
      </c>
      <c r="V529" s="11" t="e">
        <f t="shared" ca="1" si="197"/>
        <v>#VALUE!</v>
      </c>
      <c r="W529" s="11" t="e">
        <f t="shared" ca="1" si="197"/>
        <v>#VALUE!</v>
      </c>
      <c r="X529" s="11" t="e">
        <f t="shared" ca="1" si="197"/>
        <v>#VALUE!</v>
      </c>
    </row>
    <row r="530" spans="3:24" hidden="1" outlineLevel="2">
      <c r="D530" s="28" t="str">
        <f>D201</f>
        <v>Dividends Declared</v>
      </c>
      <c r="L530" s="11">
        <f t="shared" ref="L530:X530" ca="1" si="198">L201</f>
        <v>8.251687500000001</v>
      </c>
      <c r="M530" s="11">
        <f t="shared" ca="1" si="198"/>
        <v>8.5335406250000005</v>
      </c>
      <c r="N530" s="11">
        <f t="shared" ca="1" si="198"/>
        <v>8.6642432812500019</v>
      </c>
      <c r="O530" s="11">
        <f t="shared" ca="1" si="198"/>
        <v>8.7100340468750037</v>
      </c>
      <c r="P530" s="11">
        <f t="shared" ca="1" si="198"/>
        <v>9.3248105754609441</v>
      </c>
      <c r="Q530" s="11" t="e">
        <f t="shared" ca="1" si="198"/>
        <v>#VALUE!</v>
      </c>
      <c r="R530" s="11" t="e">
        <f t="shared" ca="1" si="198"/>
        <v>#VALUE!</v>
      </c>
      <c r="S530" s="11" t="e">
        <f t="shared" ca="1" si="198"/>
        <v>#VALUE!</v>
      </c>
      <c r="T530" s="11" t="e">
        <f t="shared" ca="1" si="198"/>
        <v>#VALUE!</v>
      </c>
      <c r="U530" s="11" t="e">
        <f t="shared" ca="1" si="198"/>
        <v>#VALUE!</v>
      </c>
      <c r="V530" s="11" t="e">
        <f t="shared" ca="1" si="198"/>
        <v>#VALUE!</v>
      </c>
      <c r="W530" s="11" t="e">
        <f t="shared" ca="1" si="198"/>
        <v>#VALUE!</v>
      </c>
      <c r="X530" s="11" t="e">
        <f t="shared" ca="1" si="198"/>
        <v>#VALUE!</v>
      </c>
    </row>
    <row r="531" spans="3:24" hidden="1" outlineLevel="2">
      <c r="D531" s="28" t="str">
        <f>D202</f>
        <v>Dividends Paid</v>
      </c>
      <c r="L531" s="52">
        <f t="shared" ref="L531:X531" ca="1" si="199">L202</f>
        <v>-9.751687500000001</v>
      </c>
      <c r="M531" s="52">
        <f t="shared" ca="1" si="199"/>
        <v>-8.5335406250000005</v>
      </c>
      <c r="N531" s="52">
        <f t="shared" ca="1" si="199"/>
        <v>-8.6642432812500019</v>
      </c>
      <c r="O531" s="52">
        <f t="shared" ca="1" si="199"/>
        <v>-8.7100340468750037</v>
      </c>
      <c r="P531" s="52">
        <f t="shared" ca="1" si="199"/>
        <v>-9.3248105754609441</v>
      </c>
      <c r="Q531" s="52" t="e">
        <f t="shared" ca="1" si="199"/>
        <v>#VALUE!</v>
      </c>
      <c r="R531" s="52" t="e">
        <f t="shared" ca="1" si="199"/>
        <v>#VALUE!</v>
      </c>
      <c r="S531" s="52" t="e">
        <f t="shared" ca="1" si="199"/>
        <v>#VALUE!</v>
      </c>
      <c r="T531" s="52" t="e">
        <f t="shared" ca="1" si="199"/>
        <v>#VALUE!</v>
      </c>
      <c r="U531" s="52" t="e">
        <f t="shared" ca="1" si="199"/>
        <v>#VALUE!</v>
      </c>
      <c r="V531" s="52" t="e">
        <f t="shared" ca="1" si="199"/>
        <v>#VALUE!</v>
      </c>
      <c r="W531" s="52" t="e">
        <f t="shared" ca="1" si="199"/>
        <v>#VALUE!</v>
      </c>
      <c r="X531" s="52" t="e">
        <f t="shared" ca="1" si="199"/>
        <v>#VALUE!</v>
      </c>
    </row>
    <row r="532" spans="3:24" hidden="1" outlineLevel="2">
      <c r="D532" s="28" t="str">
        <f>D203</f>
        <v>Closing Dividends Payable</v>
      </c>
      <c r="L532" s="11">
        <f ca="1">SUM(L529:L531)</f>
        <v>0</v>
      </c>
      <c r="M532" s="11">
        <f t="shared" ref="M532:X532" ca="1" si="200">SUM(M529:M531)</f>
        <v>0</v>
      </c>
      <c r="N532" s="11">
        <f t="shared" ca="1" si="200"/>
        <v>0</v>
      </c>
      <c r="O532" s="11">
        <f t="shared" ca="1" si="200"/>
        <v>0</v>
      </c>
      <c r="P532" s="11">
        <f t="shared" ca="1" si="200"/>
        <v>0</v>
      </c>
      <c r="Q532" s="11" t="e">
        <f t="shared" ca="1" si="200"/>
        <v>#VALUE!</v>
      </c>
      <c r="R532" s="11" t="e">
        <f t="shared" ca="1" si="200"/>
        <v>#VALUE!</v>
      </c>
      <c r="S532" s="11" t="e">
        <f t="shared" ca="1" si="200"/>
        <v>#VALUE!</v>
      </c>
      <c r="T532" s="11" t="e">
        <f t="shared" ca="1" si="200"/>
        <v>#VALUE!</v>
      </c>
      <c r="U532" s="11" t="e">
        <f t="shared" ca="1" si="200"/>
        <v>#VALUE!</v>
      </c>
      <c r="V532" s="11" t="e">
        <f t="shared" ca="1" si="200"/>
        <v>#VALUE!</v>
      </c>
      <c r="W532" s="11" t="e">
        <f t="shared" ca="1" si="200"/>
        <v>#VALUE!</v>
      </c>
      <c r="X532" s="11" t="e">
        <f t="shared" ca="1" si="200"/>
        <v>#VALUE!</v>
      </c>
    </row>
    <row r="533" spans="3:24" collapsed="1"/>
    <row r="534" spans="3:24" s="29" customFormat="1" ht="12">
      <c r="C534" s="30" t="str">
        <f>$B$231</f>
        <v>Taxation</v>
      </c>
    </row>
    <row r="535" spans="3:24" outlineLevel="2"/>
    <row r="536" spans="3:24" outlineLevel="2">
      <c r="D536" s="28" t="str">
        <f>$D$244</f>
        <v>Tax Expense</v>
      </c>
      <c r="L536" s="11">
        <f t="shared" ref="L536:X536" ca="1" si="201">L244</f>
        <v>-8.9287500000000044</v>
      </c>
      <c r="M536" s="11">
        <f t="shared" ca="1" si="201"/>
        <v>-8.523750000000005</v>
      </c>
      <c r="N536" s="11">
        <f t="shared" ca="1" si="201"/>
        <v>-7.3489687500000063</v>
      </c>
      <c r="O536" s="11">
        <f t="shared" ca="1" si="201"/>
        <v>-6.6771679687500143</v>
      </c>
      <c r="P536" s="11">
        <f t="shared" ca="1" si="201"/>
        <v>-11.573813407968771</v>
      </c>
      <c r="Q536" s="11">
        <f t="shared" ca="1" si="201"/>
        <v>-13.110954512167991</v>
      </c>
      <c r="R536" s="11">
        <f t="shared" ca="1" si="201"/>
        <v>-14.962365821312188</v>
      </c>
      <c r="S536" s="11">
        <f t="shared" ca="1" si="201"/>
        <v>-23.098701195217505</v>
      </c>
      <c r="T536" s="11">
        <f t="shared" ca="1" si="201"/>
        <v>-24.858912038951075</v>
      </c>
      <c r="U536" s="11">
        <f t="shared" ca="1" si="201"/>
        <v>-25.681680818283144</v>
      </c>
      <c r="V536" s="11">
        <f t="shared" ca="1" si="201"/>
        <v>-32.808121274361213</v>
      </c>
      <c r="W536" s="11">
        <f t="shared" ca="1" si="201"/>
        <v>-40.934496878198367</v>
      </c>
      <c r="X536" s="11">
        <f t="shared" ca="1" si="201"/>
        <v>-41.321209209371368</v>
      </c>
    </row>
    <row r="537" spans="3:24" outlineLevel="2">
      <c r="D537" s="28" t="str">
        <f>D271</f>
        <v>Tax Paid</v>
      </c>
      <c r="L537" s="11">
        <f t="shared" ref="L537:X537" si="202">L271</f>
        <v>-2.2000000000000002</v>
      </c>
      <c r="M537" s="11">
        <f t="shared" ca="1" si="202"/>
        <v>-9.9787500000000051</v>
      </c>
      <c r="N537" s="11">
        <f t="shared" ca="1" si="202"/>
        <v>-11.148750000000007</v>
      </c>
      <c r="O537" s="11">
        <f t="shared" ca="1" si="202"/>
        <v>-9.9739687500000063</v>
      </c>
      <c r="P537" s="11">
        <f t="shared" ca="1" si="202"/>
        <v>-9.3021679687500143</v>
      </c>
      <c r="Q537" s="11">
        <f t="shared" ca="1" si="202"/>
        <v>-14.64881340796877</v>
      </c>
      <c r="R537" s="11">
        <f t="shared" ca="1" si="202"/>
        <v>-16.635954512167991</v>
      </c>
      <c r="S537" s="11">
        <f t="shared" ca="1" si="202"/>
        <v>-18.487365821312189</v>
      </c>
      <c r="T537" s="11">
        <f t="shared" ca="1" si="202"/>
        <v>-26.623701195217503</v>
      </c>
      <c r="U537" s="11">
        <f t="shared" ca="1" si="202"/>
        <v>-27.033912038951076</v>
      </c>
      <c r="V537" s="11">
        <f t="shared" ca="1" si="202"/>
        <v>-28.381680818283147</v>
      </c>
      <c r="W537" s="11">
        <f t="shared" ca="1" si="202"/>
        <v>-35.133121274361216</v>
      </c>
      <c r="X537" s="11">
        <f t="shared" ca="1" si="202"/>
        <v>-42.88449687819837</v>
      </c>
    </row>
    <row r="538" spans="3:24" outlineLevel="2">
      <c r="D538" s="28" t="str">
        <f>D272</f>
        <v>Closing Tax Payable</v>
      </c>
      <c r="L538" s="11">
        <f t="shared" ref="L538:X538" ca="1" si="203">L272</f>
        <v>9.9787500000000051</v>
      </c>
      <c r="M538" s="11">
        <f t="shared" ca="1" si="203"/>
        <v>11.148750000000007</v>
      </c>
      <c r="N538" s="11">
        <f t="shared" ca="1" si="203"/>
        <v>9.9739687500000045</v>
      </c>
      <c r="O538" s="11">
        <f t="shared" ca="1" si="203"/>
        <v>9.3021679687500107</v>
      </c>
      <c r="P538" s="11">
        <f t="shared" ca="1" si="203"/>
        <v>14.648813407968765</v>
      </c>
      <c r="Q538" s="11">
        <f t="shared" ca="1" si="203"/>
        <v>16.635954512167988</v>
      </c>
      <c r="R538" s="11">
        <f t="shared" ca="1" si="203"/>
        <v>18.487365821312189</v>
      </c>
      <c r="S538" s="11">
        <f t="shared" ca="1" si="203"/>
        <v>26.6237011952175</v>
      </c>
      <c r="T538" s="11">
        <f t="shared" ca="1" si="203"/>
        <v>27.033912038951076</v>
      </c>
      <c r="U538" s="11">
        <f t="shared" ca="1" si="203"/>
        <v>28.381680818283147</v>
      </c>
      <c r="V538" s="11">
        <f t="shared" ca="1" si="203"/>
        <v>35.133121274361216</v>
      </c>
      <c r="W538" s="11">
        <f t="shared" ca="1" si="203"/>
        <v>42.884496878198362</v>
      </c>
      <c r="X538" s="11">
        <f t="shared" ca="1" si="203"/>
        <v>43.271209209371357</v>
      </c>
    </row>
    <row r="539" spans="3:24" outlineLevel="2">
      <c r="D539" s="28" t="str">
        <f>C274</f>
        <v>Deferred Tax Assets</v>
      </c>
      <c r="L539" s="11">
        <f t="shared" ref="L539:X539" ca="1" si="204">L279</f>
        <v>0</v>
      </c>
      <c r="M539" s="11">
        <f t="shared" ca="1" si="204"/>
        <v>0</v>
      </c>
      <c r="N539" s="11">
        <f t="shared" ca="1" si="204"/>
        <v>0</v>
      </c>
      <c r="O539" s="11">
        <f t="shared" ca="1" si="204"/>
        <v>0</v>
      </c>
      <c r="P539" s="11">
        <f t="shared" ca="1" si="204"/>
        <v>0</v>
      </c>
      <c r="Q539" s="11">
        <f t="shared" ca="1" si="204"/>
        <v>0</v>
      </c>
      <c r="R539" s="11">
        <f t="shared" ca="1" si="204"/>
        <v>0</v>
      </c>
      <c r="S539" s="11">
        <f t="shared" ca="1" si="204"/>
        <v>0</v>
      </c>
      <c r="T539" s="11">
        <f t="shared" ca="1" si="204"/>
        <v>0</v>
      </c>
      <c r="U539" s="11">
        <f t="shared" ca="1" si="204"/>
        <v>0</v>
      </c>
      <c r="V539" s="11">
        <f t="shared" ca="1" si="204"/>
        <v>0</v>
      </c>
      <c r="W539" s="11">
        <f t="shared" ca="1" si="204"/>
        <v>0</v>
      </c>
      <c r="X539" s="11">
        <f t="shared" ca="1" si="204"/>
        <v>0</v>
      </c>
    </row>
    <row r="540" spans="3:24" outlineLevel="2">
      <c r="D540" s="28" t="str">
        <f>C285</f>
        <v>Deferred Tax Liabilities</v>
      </c>
      <c r="L540" s="11">
        <f t="shared" ref="L540:X540" ca="1" si="205">L290</f>
        <v>32.75</v>
      </c>
      <c r="M540" s="11">
        <f t="shared" ca="1" si="205"/>
        <v>30.125</v>
      </c>
      <c r="N540" s="11">
        <f t="shared" ca="1" si="205"/>
        <v>27.5</v>
      </c>
      <c r="O540" s="11">
        <f t="shared" ca="1" si="205"/>
        <v>24.875</v>
      </c>
      <c r="P540" s="11">
        <f t="shared" ca="1" si="205"/>
        <v>21.8</v>
      </c>
      <c r="Q540" s="11">
        <f t="shared" ca="1" si="205"/>
        <v>18.275000000000002</v>
      </c>
      <c r="R540" s="11">
        <f t="shared" ca="1" si="205"/>
        <v>14.750000000000002</v>
      </c>
      <c r="S540" s="11">
        <f t="shared" ca="1" si="205"/>
        <v>11.225000000000001</v>
      </c>
      <c r="T540" s="11">
        <f t="shared" ca="1" si="205"/>
        <v>9.0500000000000007</v>
      </c>
      <c r="U540" s="11">
        <f t="shared" ca="1" si="205"/>
        <v>6.3500000000000014</v>
      </c>
      <c r="V540" s="11">
        <f t="shared" ca="1" si="205"/>
        <v>4.0250000000000021</v>
      </c>
      <c r="W540" s="11">
        <f t="shared" ca="1" si="205"/>
        <v>2.075000000000002</v>
      </c>
      <c r="X540" s="11">
        <f t="shared" ca="1" si="205"/>
        <v>0.125000000000002</v>
      </c>
    </row>
  </sheetData>
  <conditionalFormatting sqref="D136:I136">
    <cfRule type="expression" dxfId="10" priority="8">
      <formula>$H135=1</formula>
    </cfRule>
  </conditionalFormatting>
  <conditionalFormatting sqref="D137:I137">
    <cfRule type="expression" dxfId="9" priority="7">
      <formula>$H135=2</formula>
    </cfRule>
  </conditionalFormatting>
  <conditionalFormatting sqref="B2">
    <cfRule type="cellIs" dxfId="8" priority="2" operator="notEqual">
      <formula>"No Errors Found"</formula>
    </cfRule>
  </conditionalFormatting>
  <conditionalFormatting sqref="I308">
    <cfRule type="cellIs" dxfId="7" priority="1" operator="equal">
      <formula>"Ok"</formula>
    </cfRule>
  </conditionalFormatting>
  <dataValidations count="14">
    <dataValidation allowBlank="1" showInputMessage="1" showErrorMessage="1" promptTitle="Start Date" prompt="This should be the first day of the first period. _x000a_Monthly: 1/3/2011_x000a_Quarterly: 1/4/2011_x000a_Yearly: 1/1/2011" sqref="H33" xr:uid="{00000000-0002-0000-0100-000000000000}"/>
    <dataValidation allowBlank="1" showInputMessage="1" showErrorMessage="1" prompt="Enter as a +'ve" sqref="L44:X48 L87:X91" xr:uid="{00000000-0002-0000-0100-000001000000}"/>
    <dataValidation type="decimal" operator="greaterThanOrEqual" allowBlank="1" showInputMessage="1" showErrorMessage="1" sqref="L165 K235:X235 L198:X198 L183:X183 I75:I79 L239:X239 L287 L276 L269 L262 L200 L195:X195 L192 L185 M177:X178 L176:L178 K56:K60 L121 L113 L111:X111 L103 L101:X101 L124:X124" xr:uid="{00000000-0002-0000-0100-000002000000}">
      <formula1>0</formula1>
    </dataValidation>
    <dataValidation type="whole" operator="greaterThan" allowBlank="1" showInputMessage="1" showErrorMessage="1" sqref="J75:J79" xr:uid="{00000000-0002-0000-0100-000003000000}">
      <formula1>0</formula1>
    </dataValidation>
    <dataValidation type="decimal" allowBlank="1" showInputMessage="1" showErrorMessage="1" sqref="L174:X174" xr:uid="{00000000-0002-0000-0100-000004000000}">
      <formula1>0</formula1>
      <formula2>1</formula2>
    </dataValidation>
    <dataValidation type="whole" operator="lessThanOrEqual" allowBlank="1" showInputMessage="1" showErrorMessage="1" sqref="L238:X238" xr:uid="{00000000-0002-0000-0100-000005000000}">
      <formula1>0</formula1>
    </dataValidation>
    <dataValidation type="whole" operator="greaterThan" allowBlank="1" showInputMessage="1" showErrorMessage="1" promptTitle="Depreciation Term" prompt="Number of years" sqref="H138" xr:uid="{00000000-0002-0000-0100-000006000000}">
      <formula1>0</formula1>
    </dataValidation>
    <dataValidation allowBlank="1" showInputMessage="1" showErrorMessage="1" promptTitle="Capex Timing" prompt="Enter the % into the period that the Capex is spent. _x000a__x000a_0% for start of year_x000a_50% for mid year_x000a_100% for end of year" sqref="L142" xr:uid="{00000000-0002-0000-0100-000007000000}"/>
    <dataValidation type="whole" operator="greaterThan" allowBlank="1" showErrorMessage="1" promptTitle="Depreciation Term" prompt="Number of years" sqref="H135:H136" xr:uid="{00000000-0002-0000-0100-000008000000}">
      <formula1>0</formula1>
    </dataValidation>
    <dataValidation type="whole" operator="greaterThan" allowBlank="1" showInputMessage="1" showErrorMessage="1" promptTitle="Depreciation Term" prompt="Number of years._x000a__x000a_This is only used for assets depreciated using the straight line method." sqref="H137" xr:uid="{00000000-0002-0000-0100-000009000000}">
      <formula1>0</formula1>
    </dataValidation>
    <dataValidation type="list" operator="greaterThanOrEqual" allowBlank="1" showInputMessage="1" showErrorMessage="1" prompt="1. Pre Finance and Tax_x000a_2. Post Finance Pre Tax_x000a_3. Pre Finance Post Tax (WACC)_x000a_4. Post Finance and Tax (Cost of Equity)" sqref="K362" xr:uid="{00000000-0002-0000-0100-00000A000000}">
      <formula1>"1,2,3,4"</formula1>
    </dataValidation>
    <dataValidation type="whole" operator="greaterThanOrEqual" allowBlank="1" showInputMessage="1" showErrorMessage="1" sqref="K372 K376 K370" xr:uid="{00000000-0002-0000-0100-00000B000000}">
      <formula1>0</formula1>
    </dataValidation>
    <dataValidation operator="greaterThanOrEqual" allowBlank="1" showInputMessage="1" showErrorMessage="1" sqref="L357:X357 K363" xr:uid="{00000000-0002-0000-0100-00000C000000}"/>
    <dataValidation type="list" allowBlank="1" showInputMessage="1" showErrorMessage="1" sqref="H75:H79" xr:uid="{00000000-0002-0000-0100-00000D000000}">
      <formula1>$L$7:$X$7</formula1>
    </dataValidation>
  </dataValidations>
  <pageMargins left="0.7" right="0.7" top="0.75" bottom="0.75" header="0.3" footer="0.3"/>
  <pageSetup paperSize="9" fitToHeight="10" orientation="portrait" r:id="rId1"/>
  <headerFooter>
    <oddFooter>&amp;L&amp;1#&amp;"Calibri"&amp;10Sensitivity: Internal</oddFooter>
  </headerFooter>
  <legacyDrawing r:id="rId2"/>
  <extLst>
    <ext xmlns:x14="http://schemas.microsoft.com/office/spreadsheetml/2009/9/main" uri="{CCE6A557-97BC-4b89-ADB6-D9C93CAAB3DF}">
      <x14:dataValidations xmlns:xm="http://schemas.microsoft.com/office/excel/2006/main" count="2">
        <x14:dataValidation type="whole" allowBlank="1" showInputMessage="1" showErrorMessage="1" promptTitle="Calander Month" prompt="1=January_x000a_2=February_x000a_3=March_x000a_4=April_x000a_5=May_x000a_6=June_x000a_7=July_x000a_8=August_x000a_9=September_x000a_10=October_x000a_11=November_x000a_12=December" xr:uid="{00000000-0002-0000-0100-00000E000000}">
          <x14:formula1>
            <xm:f>1</xm:f>
          </x14:formula1>
          <x14:formula2>
            <xm:f>ROWS(Lookup!$D$99:$D$110)</xm:f>
          </x14:formula2>
          <xm:sqref>H34</xm:sqref>
        </x14:dataValidation>
        <x14:dataValidation type="whole" allowBlank="1" showInputMessage="1" showErrorMessage="1" promptTitle="Periodicity" prompt="1=Monthly_x000a_2=Quarterly_x000a_3=Yearly" xr:uid="{00000000-0002-0000-0100-00000F000000}">
          <x14:formula1>
            <xm:f>1</xm:f>
          </x14:formula1>
          <x14:formula2>
            <xm:f>ROWS(Lookup!D85:D87)</xm:f>
          </x14:formula2>
          <xm:sqref>H31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X342"/>
  <sheetViews>
    <sheetView showGridLines="0" zoomScaleNormal="100" workbookViewId="0" xr3:uid="{842E5F09-E766-5B8D-85AF-A39847EA96FD}">
      <pane xSplit="7" ySplit="24" topLeftCell="H261" activePane="bottomRight" state="frozen"/>
      <selection pane="bottomRight" activeCell="K157" sqref="K157"/>
      <selection pane="bottomLeft" activeCell="I76" sqref="I76"/>
      <selection pane="topRight" activeCell="I76" sqref="I76"/>
    </sheetView>
  </sheetViews>
  <sheetFormatPr defaultColWidth="9.33203125" defaultRowHeight="11.25" outlineLevelRow="2"/>
  <cols>
    <col min="1" max="3" width="2.83203125" customWidth="1"/>
    <col min="4" max="4" width="25.83203125" customWidth="1"/>
    <col min="5" max="7" width="3.83203125" customWidth="1"/>
    <col min="8" max="8" width="10.83203125" customWidth="1"/>
    <col min="9" max="9" width="10" customWidth="1"/>
    <col min="10" max="24" width="10.83203125" customWidth="1"/>
  </cols>
  <sheetData>
    <row r="1" spans="2:24" ht="19.5">
      <c r="B1" s="24" t="s">
        <v>229</v>
      </c>
    </row>
    <row r="2" spans="2:24">
      <c r="B2" s="43" t="str">
        <f ca="1">Title_Msg</f>
        <v>Errors Found</v>
      </c>
    </row>
    <row r="7" spans="2:24" s="2" customFormat="1">
      <c r="B7" s="31" t="str">
        <f>Asmptn!B7</f>
        <v>Period Ending</v>
      </c>
      <c r="L7" s="42">
        <f>Asmptn!L7</f>
        <v>41455</v>
      </c>
      <c r="M7" s="42">
        <f>Asmptn!M7</f>
        <v>41820</v>
      </c>
      <c r="N7" s="42">
        <f>Asmptn!N7</f>
        <v>42185</v>
      </c>
      <c r="O7" s="42">
        <f>Asmptn!O7</f>
        <v>42551</v>
      </c>
      <c r="P7" s="42">
        <f>Asmptn!P7</f>
        <v>42916</v>
      </c>
      <c r="Q7" s="42">
        <f>Asmptn!Q7</f>
        <v>43281</v>
      </c>
      <c r="R7" s="42">
        <f>Asmptn!R7</f>
        <v>43646</v>
      </c>
      <c r="S7" s="42">
        <f>Asmptn!S7</f>
        <v>44012</v>
      </c>
      <c r="T7" s="42">
        <f>Asmptn!T7</f>
        <v>44377</v>
      </c>
      <c r="U7" s="42">
        <f>Asmptn!U7</f>
        <v>44742</v>
      </c>
      <c r="V7" s="42">
        <f>Asmptn!V7</f>
        <v>45107</v>
      </c>
      <c r="W7" s="42">
        <f>Asmptn!W7</f>
        <v>45473</v>
      </c>
      <c r="X7" s="42">
        <f>Asmptn!X7</f>
        <v>45838</v>
      </c>
    </row>
    <row r="8" spans="2:24" hidden="1" outlineLevel="2">
      <c r="B8" s="28" t="str">
        <f>Asmptn!B8</f>
        <v>Calender Quarter and Year</v>
      </c>
      <c r="L8" s="33" t="str">
        <f>Asmptn!L8</f>
        <v xml:space="preserve">Q2 2013 </v>
      </c>
      <c r="M8" s="33" t="str">
        <f>Asmptn!M8</f>
        <v xml:space="preserve">Q2 2014 </v>
      </c>
      <c r="N8" s="33" t="str">
        <f>Asmptn!N8</f>
        <v xml:space="preserve">Q2 2015 </v>
      </c>
      <c r="O8" s="33" t="str">
        <f>Asmptn!O8</f>
        <v xml:space="preserve">Q2 2016 </v>
      </c>
      <c r="P8" s="33" t="str">
        <f>Asmptn!P8</f>
        <v xml:space="preserve">Q2 2017 </v>
      </c>
      <c r="Q8" s="33" t="str">
        <f>Asmptn!Q8</f>
        <v xml:space="preserve">Q2 2018 </v>
      </c>
      <c r="R8" s="33" t="str">
        <f>Asmptn!R8</f>
        <v xml:space="preserve">Q2 2019 </v>
      </c>
      <c r="S8" s="33" t="str">
        <f>Asmptn!S8</f>
        <v xml:space="preserve">Q2 2020 </v>
      </c>
      <c r="T8" s="33" t="str">
        <f>Asmptn!T8</f>
        <v xml:space="preserve">Q2 2021 </v>
      </c>
      <c r="U8" s="33" t="str">
        <f>Asmptn!U8</f>
        <v xml:space="preserve">Q2 2022 </v>
      </c>
      <c r="V8" s="33" t="str">
        <f>Asmptn!V8</f>
        <v xml:space="preserve">Q2 2023 </v>
      </c>
      <c r="W8" s="33" t="str">
        <f>Asmptn!W8</f>
        <v xml:space="preserve">Q2 2024 </v>
      </c>
      <c r="X8" s="33" t="str">
        <f>Asmptn!X8</f>
        <v xml:space="preserve">Q2 2025 </v>
      </c>
    </row>
    <row r="9" spans="2:24" hidden="1" outlineLevel="2">
      <c r="B9" s="28" t="str">
        <f>Asmptn!B9</f>
        <v>Calender Year</v>
      </c>
      <c r="L9" s="33">
        <f>Asmptn!L9</f>
        <v>2013</v>
      </c>
      <c r="M9" s="33">
        <f>Asmptn!M9</f>
        <v>2014</v>
      </c>
      <c r="N9" s="33">
        <f>Asmptn!N9</f>
        <v>2015</v>
      </c>
      <c r="O9" s="33">
        <f>Asmptn!O9</f>
        <v>2016</v>
      </c>
      <c r="P9" s="33">
        <f>Asmptn!P9</f>
        <v>2017</v>
      </c>
      <c r="Q9" s="33">
        <f>Asmptn!Q9</f>
        <v>2018</v>
      </c>
      <c r="R9" s="33">
        <f>Asmptn!R9</f>
        <v>2019</v>
      </c>
      <c r="S9" s="33">
        <f>Asmptn!S9</f>
        <v>2020</v>
      </c>
      <c r="T9" s="33">
        <f>Asmptn!T9</f>
        <v>2021</v>
      </c>
      <c r="U9" s="33">
        <f>Asmptn!U9</f>
        <v>2022</v>
      </c>
      <c r="V9" s="33">
        <f>Asmptn!V9</f>
        <v>2023</v>
      </c>
      <c r="W9" s="33">
        <f>Asmptn!W9</f>
        <v>2024</v>
      </c>
      <c r="X9" s="33">
        <f>Asmptn!X9</f>
        <v>2025</v>
      </c>
    </row>
    <row r="10" spans="2:24" hidden="1" outlineLevel="2">
      <c r="B10" s="28" t="str">
        <f>Asmptn!B10</f>
        <v>Financial Year</v>
      </c>
      <c r="L10" s="33">
        <f>Asmptn!L10</f>
        <v>2013</v>
      </c>
      <c r="M10" s="33">
        <f>Asmptn!M10</f>
        <v>2014</v>
      </c>
      <c r="N10" s="33">
        <f>Asmptn!N10</f>
        <v>2015</v>
      </c>
      <c r="O10" s="33">
        <f>Asmptn!O10</f>
        <v>2016</v>
      </c>
      <c r="P10" s="33">
        <f>Asmptn!P10</f>
        <v>2017</v>
      </c>
      <c r="Q10" s="33">
        <f>Asmptn!Q10</f>
        <v>2018</v>
      </c>
      <c r="R10" s="33">
        <f>Asmptn!R10</f>
        <v>2019</v>
      </c>
      <c r="S10" s="33">
        <f>Asmptn!S10</f>
        <v>2020</v>
      </c>
      <c r="T10" s="33">
        <f>Asmptn!T10</f>
        <v>2021</v>
      </c>
      <c r="U10" s="33">
        <f>Asmptn!U10</f>
        <v>2022</v>
      </c>
      <c r="V10" s="33">
        <f>Asmptn!V10</f>
        <v>2023</v>
      </c>
      <c r="W10" s="33">
        <f>Asmptn!W10</f>
        <v>2024</v>
      </c>
      <c r="X10" s="33">
        <f>Asmptn!X10</f>
        <v>2025</v>
      </c>
    </row>
    <row r="11" spans="2:24" hidden="1" outlineLevel="2">
      <c r="B11" s="28" t="str">
        <f>Asmptn!B11</f>
        <v>Period Start Date (From Start of Day...)</v>
      </c>
      <c r="L11" s="34">
        <f>Asmptn!L11</f>
        <v>41091</v>
      </c>
      <c r="M11" s="34">
        <f>Asmptn!M11</f>
        <v>41456</v>
      </c>
      <c r="N11" s="34">
        <f>Asmptn!N11</f>
        <v>41821</v>
      </c>
      <c r="O11" s="34">
        <f>Asmptn!O11</f>
        <v>42186</v>
      </c>
      <c r="P11" s="34">
        <f>Asmptn!P11</f>
        <v>42552</v>
      </c>
      <c r="Q11" s="34">
        <f>Asmptn!Q11</f>
        <v>42917</v>
      </c>
      <c r="R11" s="34">
        <f>Asmptn!R11</f>
        <v>43282</v>
      </c>
      <c r="S11" s="34">
        <f>Asmptn!S11</f>
        <v>43647</v>
      </c>
      <c r="T11" s="34">
        <f>Asmptn!T11</f>
        <v>44013</v>
      </c>
      <c r="U11" s="34">
        <f>Asmptn!U11</f>
        <v>44378</v>
      </c>
      <c r="V11" s="34">
        <f>Asmptn!V11</f>
        <v>44743</v>
      </c>
      <c r="W11" s="34">
        <f>Asmptn!W11</f>
        <v>45108</v>
      </c>
      <c r="X11" s="34">
        <f>Asmptn!X11</f>
        <v>45474</v>
      </c>
    </row>
    <row r="12" spans="2:24" hidden="1" outlineLevel="2">
      <c r="B12" s="28" t="str">
        <f>Asmptn!B12</f>
        <v>Period End Date (Until End of Day...)</v>
      </c>
      <c r="L12" s="34">
        <f>Asmptn!L12</f>
        <v>41455</v>
      </c>
      <c r="M12" s="34">
        <f>Asmptn!M12</f>
        <v>41820</v>
      </c>
      <c r="N12" s="34">
        <f>Asmptn!N12</f>
        <v>42185</v>
      </c>
      <c r="O12" s="34">
        <f>Asmptn!O12</f>
        <v>42551</v>
      </c>
      <c r="P12" s="34">
        <f>Asmptn!P12</f>
        <v>42916</v>
      </c>
      <c r="Q12" s="34">
        <f>Asmptn!Q12</f>
        <v>43281</v>
      </c>
      <c r="R12" s="34">
        <f>Asmptn!R12</f>
        <v>43646</v>
      </c>
      <c r="S12" s="34">
        <f>Asmptn!S12</f>
        <v>44012</v>
      </c>
      <c r="T12" s="34">
        <f>Asmptn!T12</f>
        <v>44377</v>
      </c>
      <c r="U12" s="34">
        <f>Asmptn!U12</f>
        <v>44742</v>
      </c>
      <c r="V12" s="34">
        <f>Asmptn!V12</f>
        <v>45107</v>
      </c>
      <c r="W12" s="34">
        <f>Asmptn!W12</f>
        <v>45473</v>
      </c>
      <c r="X12" s="34">
        <f>Asmptn!X12</f>
        <v>45838</v>
      </c>
    </row>
    <row r="13" spans="2:24" hidden="1" outlineLevel="2">
      <c r="B13" s="28" t="str">
        <f>Asmptn!B13</f>
        <v>Months in Period</v>
      </c>
      <c r="L13" s="35">
        <f>Asmptn!L13</f>
        <v>12</v>
      </c>
      <c r="M13" s="35">
        <f>Asmptn!M13</f>
        <v>12</v>
      </c>
      <c r="N13" s="35">
        <f>Asmptn!N13</f>
        <v>12</v>
      </c>
      <c r="O13" s="35">
        <f>Asmptn!O13</f>
        <v>12</v>
      </c>
      <c r="P13" s="35">
        <f>Asmptn!P13</f>
        <v>12</v>
      </c>
      <c r="Q13" s="35">
        <f>Asmptn!Q13</f>
        <v>12</v>
      </c>
      <c r="R13" s="35">
        <f>Asmptn!R13</f>
        <v>12</v>
      </c>
      <c r="S13" s="35">
        <f>Asmptn!S13</f>
        <v>12</v>
      </c>
      <c r="T13" s="35">
        <f>Asmptn!T13</f>
        <v>12</v>
      </c>
      <c r="U13" s="35">
        <f>Asmptn!U13</f>
        <v>12</v>
      </c>
      <c r="V13" s="35">
        <f>Asmptn!V13</f>
        <v>12</v>
      </c>
      <c r="W13" s="35">
        <f>Asmptn!W13</f>
        <v>12</v>
      </c>
      <c r="X13" s="35">
        <f>Asmptn!X13</f>
        <v>12</v>
      </c>
    </row>
    <row r="14" spans="2:24" hidden="1" outlineLevel="2">
      <c r="B14" s="28" t="str">
        <f>Asmptn!B14</f>
        <v>Days in Period</v>
      </c>
      <c r="L14" s="35">
        <f>Asmptn!L14</f>
        <v>365</v>
      </c>
      <c r="M14" s="35">
        <f>Asmptn!M14</f>
        <v>365</v>
      </c>
      <c r="N14" s="35">
        <f>Asmptn!N14</f>
        <v>365</v>
      </c>
      <c r="O14" s="35">
        <f>Asmptn!O14</f>
        <v>366</v>
      </c>
      <c r="P14" s="35">
        <f>Asmptn!P14</f>
        <v>365</v>
      </c>
      <c r="Q14" s="35">
        <f>Asmptn!Q14</f>
        <v>365</v>
      </c>
      <c r="R14" s="35">
        <f>Asmptn!R14</f>
        <v>365</v>
      </c>
      <c r="S14" s="35">
        <f>Asmptn!S14</f>
        <v>366</v>
      </c>
      <c r="T14" s="35">
        <f>Asmptn!T14</f>
        <v>365</v>
      </c>
      <c r="U14" s="35">
        <f>Asmptn!U14</f>
        <v>365</v>
      </c>
      <c r="V14" s="35">
        <f>Asmptn!V14</f>
        <v>365</v>
      </c>
      <c r="W14" s="35">
        <f>Asmptn!W14</f>
        <v>366</v>
      </c>
      <c r="X14" s="35">
        <f>Asmptn!X14</f>
        <v>365</v>
      </c>
    </row>
    <row r="15" spans="2:24" hidden="1" outlineLevel="2">
      <c r="B15" s="28" t="str">
        <f>Asmptn!B15</f>
        <v>Fridays in Period</v>
      </c>
      <c r="L15" s="35">
        <f>Asmptn!L15</f>
        <v>52</v>
      </c>
      <c r="M15" s="35">
        <f>Asmptn!M15</f>
        <v>52</v>
      </c>
      <c r="N15" s="35">
        <f>Asmptn!N15</f>
        <v>52</v>
      </c>
      <c r="O15" s="35">
        <f>Asmptn!O15</f>
        <v>52</v>
      </c>
      <c r="P15" s="35">
        <f>Asmptn!P15</f>
        <v>53</v>
      </c>
      <c r="Q15" s="35">
        <f>Asmptn!Q15</f>
        <v>52</v>
      </c>
      <c r="R15" s="35">
        <f>Asmptn!R15</f>
        <v>52</v>
      </c>
      <c r="S15" s="35">
        <f>Asmptn!S15</f>
        <v>52</v>
      </c>
      <c r="T15" s="35">
        <f>Asmptn!T15</f>
        <v>52</v>
      </c>
      <c r="U15" s="35">
        <f>Asmptn!U15</f>
        <v>52</v>
      </c>
      <c r="V15" s="35">
        <f>Asmptn!V15</f>
        <v>53</v>
      </c>
      <c r="W15" s="35">
        <f>Asmptn!W15</f>
        <v>52</v>
      </c>
      <c r="X15" s="35">
        <f>Asmptn!X15</f>
        <v>52</v>
      </c>
    </row>
    <row r="16" spans="2:24" hidden="1" outlineLevel="2">
      <c r="B16" s="28" t="str">
        <f>Asmptn!B16</f>
        <v>Year Fraction</v>
      </c>
      <c r="L16" s="36">
        <f>Asmptn!L16</f>
        <v>1</v>
      </c>
      <c r="M16" s="36">
        <f>Asmptn!M16</f>
        <v>1</v>
      </c>
      <c r="N16" s="36">
        <f>Asmptn!N16</f>
        <v>1</v>
      </c>
      <c r="O16" s="36">
        <f>Asmptn!O16</f>
        <v>1</v>
      </c>
      <c r="P16" s="36">
        <f>Asmptn!P16</f>
        <v>1</v>
      </c>
      <c r="Q16" s="36">
        <f>Asmptn!Q16</f>
        <v>1</v>
      </c>
      <c r="R16" s="36">
        <f>Asmptn!R16</f>
        <v>1</v>
      </c>
      <c r="S16" s="36">
        <f>Asmptn!S16</f>
        <v>1</v>
      </c>
      <c r="T16" s="36">
        <f>Asmptn!T16</f>
        <v>1</v>
      </c>
      <c r="U16" s="36">
        <f>Asmptn!U16</f>
        <v>1</v>
      </c>
      <c r="V16" s="36">
        <f>Asmptn!V16</f>
        <v>1</v>
      </c>
      <c r="W16" s="36">
        <f>Asmptn!W16</f>
        <v>1</v>
      </c>
      <c r="X16" s="36">
        <f>Asmptn!X16</f>
        <v>1</v>
      </c>
    </row>
    <row r="17" spans="2:24" hidden="1" outlineLevel="2">
      <c r="B17" s="28" t="str">
        <f>Asmptn!B17</f>
        <v>Cumulative Year Fraction</v>
      </c>
      <c r="L17" s="36">
        <f>Asmptn!L17</f>
        <v>1</v>
      </c>
      <c r="M17" s="36">
        <f>Asmptn!M17</f>
        <v>2</v>
      </c>
      <c r="N17" s="36">
        <f>Asmptn!N17</f>
        <v>3</v>
      </c>
      <c r="O17" s="36">
        <f>Asmptn!O17</f>
        <v>4</v>
      </c>
      <c r="P17" s="36">
        <f>Asmptn!P17</f>
        <v>5</v>
      </c>
      <c r="Q17" s="36">
        <f>Asmptn!Q17</f>
        <v>6</v>
      </c>
      <c r="R17" s="36">
        <f>Asmptn!R17</f>
        <v>7</v>
      </c>
      <c r="S17" s="36">
        <f>Asmptn!S17</f>
        <v>8</v>
      </c>
      <c r="T17" s="36">
        <f>Asmptn!T17</f>
        <v>9</v>
      </c>
      <c r="U17" s="36">
        <f>Asmptn!U17</f>
        <v>10</v>
      </c>
      <c r="V17" s="36">
        <f>Asmptn!V17</f>
        <v>11</v>
      </c>
      <c r="W17" s="36">
        <f>Asmptn!W17</f>
        <v>12</v>
      </c>
      <c r="X17" s="36">
        <f>Asmptn!X17</f>
        <v>13</v>
      </c>
    </row>
    <row r="18" spans="2:24" hidden="1" outlineLevel="2">
      <c r="B18" s="28" t="str">
        <f>Asmptn!B18</f>
        <v>Days in Calender Year</v>
      </c>
      <c r="L18" s="35">
        <f>Asmptn!L18</f>
        <v>365</v>
      </c>
      <c r="M18" s="35">
        <f>Asmptn!M18</f>
        <v>365</v>
      </c>
      <c r="N18" s="35">
        <f>Asmptn!N18</f>
        <v>365</v>
      </c>
      <c r="O18" s="35">
        <f>Asmptn!O18</f>
        <v>366</v>
      </c>
      <c r="P18" s="35">
        <f>Asmptn!P18</f>
        <v>365</v>
      </c>
      <c r="Q18" s="35">
        <f>Asmptn!Q18</f>
        <v>365</v>
      </c>
      <c r="R18" s="35">
        <f>Asmptn!R18</f>
        <v>365</v>
      </c>
      <c r="S18" s="35">
        <f>Asmptn!S18</f>
        <v>366</v>
      </c>
      <c r="T18" s="35">
        <f>Asmptn!T18</f>
        <v>365</v>
      </c>
      <c r="U18" s="35">
        <f>Asmptn!U18</f>
        <v>365</v>
      </c>
      <c r="V18" s="35">
        <f>Asmptn!V18</f>
        <v>365</v>
      </c>
      <c r="W18" s="35">
        <f>Asmptn!W18</f>
        <v>366</v>
      </c>
      <c r="X18" s="35">
        <f>Asmptn!X18</f>
        <v>365</v>
      </c>
    </row>
    <row r="19" spans="2:24" hidden="1" outlineLevel="2">
      <c r="B19" s="28" t="str">
        <f>Asmptn!B19</f>
        <v>Days in Financial Year</v>
      </c>
      <c r="L19" s="35">
        <f>Asmptn!L19</f>
        <v>365</v>
      </c>
      <c r="M19" s="35">
        <f>Asmptn!M19</f>
        <v>365</v>
      </c>
      <c r="N19" s="35">
        <f>Asmptn!N19</f>
        <v>366</v>
      </c>
      <c r="O19" s="35">
        <f>Asmptn!O19</f>
        <v>365</v>
      </c>
      <c r="P19" s="35">
        <f>Asmptn!P19</f>
        <v>365</v>
      </c>
      <c r="Q19" s="35">
        <f>Asmptn!Q19</f>
        <v>365</v>
      </c>
      <c r="R19" s="35">
        <f>Asmptn!R19</f>
        <v>366</v>
      </c>
      <c r="S19" s="35">
        <f>Asmptn!S19</f>
        <v>365</v>
      </c>
      <c r="T19" s="35">
        <f>Asmptn!T19</f>
        <v>365</v>
      </c>
      <c r="U19" s="35">
        <f>Asmptn!U19</f>
        <v>365</v>
      </c>
      <c r="V19" s="35">
        <f>Asmptn!V19</f>
        <v>366</v>
      </c>
      <c r="W19" s="35">
        <f>Asmptn!W19</f>
        <v>365</v>
      </c>
      <c r="X19" s="35">
        <f>Asmptn!X19</f>
        <v>365</v>
      </c>
    </row>
    <row r="20" spans="2:24" hidden="1" outlineLevel="2">
      <c r="B20" s="28" t="str">
        <f>Asmptn!B20</f>
        <v>Counter</v>
      </c>
      <c r="L20" s="35">
        <f>Asmptn!L20</f>
        <v>1</v>
      </c>
      <c r="M20" s="35">
        <f>Asmptn!M20</f>
        <v>2</v>
      </c>
      <c r="N20" s="35">
        <f>Asmptn!N20</f>
        <v>3</v>
      </c>
      <c r="O20" s="35">
        <f>Asmptn!O20</f>
        <v>4</v>
      </c>
      <c r="P20" s="35">
        <f>Asmptn!P20</f>
        <v>5</v>
      </c>
      <c r="Q20" s="35">
        <f>Asmptn!Q20</f>
        <v>6</v>
      </c>
      <c r="R20" s="35">
        <f>Asmptn!R20</f>
        <v>7</v>
      </c>
      <c r="S20" s="35">
        <f>Asmptn!S20</f>
        <v>8</v>
      </c>
      <c r="T20" s="35">
        <f>Asmptn!T20</f>
        <v>9</v>
      </c>
      <c r="U20" s="35">
        <f>Asmptn!U20</f>
        <v>10</v>
      </c>
      <c r="V20" s="35">
        <f>Asmptn!V20</f>
        <v>11</v>
      </c>
      <c r="W20" s="35">
        <f>Asmptn!W20</f>
        <v>12</v>
      </c>
      <c r="X20" s="35">
        <f>Asmptn!X20</f>
        <v>13</v>
      </c>
    </row>
    <row r="21" spans="2:24" hidden="1" outlineLevel="2">
      <c r="B21" s="28" t="str">
        <f>Asmptn!B21</f>
        <v>Quarter Counter</v>
      </c>
      <c r="L21" s="35">
        <f>Asmptn!L21</f>
        <v>0</v>
      </c>
      <c r="M21" s="35">
        <f>Asmptn!M21</f>
        <v>0</v>
      </c>
      <c r="N21" s="35">
        <f>Asmptn!N21</f>
        <v>0</v>
      </c>
      <c r="O21" s="35">
        <f>Asmptn!O21</f>
        <v>0</v>
      </c>
      <c r="P21" s="35">
        <f>Asmptn!P21</f>
        <v>0</v>
      </c>
      <c r="Q21" s="35">
        <f>Asmptn!Q21</f>
        <v>0</v>
      </c>
      <c r="R21" s="35">
        <f>Asmptn!R21</f>
        <v>0</v>
      </c>
      <c r="S21" s="35">
        <f>Asmptn!S21</f>
        <v>0</v>
      </c>
      <c r="T21" s="35">
        <f>Asmptn!T21</f>
        <v>0</v>
      </c>
      <c r="U21" s="35">
        <f>Asmptn!U21</f>
        <v>0</v>
      </c>
      <c r="V21" s="35">
        <f>Asmptn!V21</f>
        <v>0</v>
      </c>
      <c r="W21" s="35">
        <f>Asmptn!W21</f>
        <v>0</v>
      </c>
      <c r="X21" s="35">
        <f>Asmptn!X21</f>
        <v>0</v>
      </c>
    </row>
    <row r="22" spans="2:24" hidden="1" outlineLevel="2">
      <c r="B22" s="28" t="str">
        <f>Asmptn!B22</f>
        <v>Calender Year Counter</v>
      </c>
      <c r="L22" s="35">
        <f>Asmptn!L22</f>
        <v>0</v>
      </c>
      <c r="M22" s="35">
        <f>Asmptn!M22</f>
        <v>0</v>
      </c>
      <c r="N22" s="35">
        <f>Asmptn!N22</f>
        <v>0</v>
      </c>
      <c r="O22" s="35">
        <f>Asmptn!O22</f>
        <v>0</v>
      </c>
      <c r="P22" s="35">
        <f>Asmptn!P22</f>
        <v>0</v>
      </c>
      <c r="Q22" s="35">
        <f>Asmptn!Q22</f>
        <v>0</v>
      </c>
      <c r="R22" s="35">
        <f>Asmptn!R22</f>
        <v>0</v>
      </c>
      <c r="S22" s="35">
        <f>Asmptn!S22</f>
        <v>0</v>
      </c>
      <c r="T22" s="35">
        <f>Asmptn!T22</f>
        <v>0</v>
      </c>
      <c r="U22" s="35">
        <f>Asmptn!U22</f>
        <v>0</v>
      </c>
      <c r="V22" s="35">
        <f>Asmptn!V22</f>
        <v>0</v>
      </c>
      <c r="W22" s="35">
        <f>Asmptn!W22</f>
        <v>0</v>
      </c>
      <c r="X22" s="35">
        <f>Asmptn!X22</f>
        <v>0</v>
      </c>
    </row>
    <row r="23" spans="2:24" hidden="1" outlineLevel="2">
      <c r="B23" s="28" t="str">
        <f>Asmptn!B23</f>
        <v>Financial Year Counter</v>
      </c>
      <c r="L23" s="35">
        <f>Asmptn!L23</f>
        <v>1</v>
      </c>
      <c r="M23" s="35">
        <f>Asmptn!M23</f>
        <v>2</v>
      </c>
      <c r="N23" s="35">
        <f>Asmptn!N23</f>
        <v>3</v>
      </c>
      <c r="O23" s="35">
        <f>Asmptn!O23</f>
        <v>4</v>
      </c>
      <c r="P23" s="35">
        <f>Asmptn!P23</f>
        <v>5</v>
      </c>
      <c r="Q23" s="35">
        <f>Asmptn!Q23</f>
        <v>6</v>
      </c>
      <c r="R23" s="35">
        <f>Asmptn!R23</f>
        <v>7</v>
      </c>
      <c r="S23" s="35">
        <f>Asmptn!S23</f>
        <v>8</v>
      </c>
      <c r="T23" s="35">
        <f>Asmptn!T23</f>
        <v>9</v>
      </c>
      <c r="U23" s="35">
        <f>Asmptn!U23</f>
        <v>10</v>
      </c>
      <c r="V23" s="35">
        <f>Asmptn!V23</f>
        <v>11</v>
      </c>
      <c r="W23" s="35">
        <f>Asmptn!W23</f>
        <v>12</v>
      </c>
      <c r="X23" s="35">
        <f>Asmptn!X23</f>
        <v>13</v>
      </c>
    </row>
    <row r="24" spans="2:24" s="2" customFormat="1" hidden="1" outlineLevel="2">
      <c r="B24" s="41" t="str">
        <f>Asmptn!B24</f>
        <v>Dashboard Counter</v>
      </c>
      <c r="L24" s="103">
        <f>Asmptn!L24</f>
        <v>1</v>
      </c>
      <c r="M24" s="103">
        <f>Asmptn!M24</f>
        <v>2</v>
      </c>
      <c r="N24" s="103">
        <f>Asmptn!N24</f>
        <v>3</v>
      </c>
      <c r="O24" s="103">
        <f>Asmptn!O24</f>
        <v>4</v>
      </c>
      <c r="P24" s="103">
        <f>Asmptn!P24</f>
        <v>5</v>
      </c>
      <c r="Q24" s="103">
        <f>Asmptn!Q24</f>
        <v>6</v>
      </c>
      <c r="R24" s="103">
        <f>Asmptn!R24</f>
        <v>7</v>
      </c>
      <c r="S24" s="103">
        <f>Asmptn!S24</f>
        <v>8</v>
      </c>
      <c r="T24" s="103">
        <f>Asmptn!T24</f>
        <v>9</v>
      </c>
      <c r="U24" s="103">
        <f>Asmptn!U24</f>
        <v>10</v>
      </c>
      <c r="V24" s="103">
        <f>Asmptn!V24</f>
        <v>11</v>
      </c>
      <c r="W24" s="103">
        <f>Asmptn!W24</f>
        <v>12</v>
      </c>
      <c r="X24" s="103">
        <f>Asmptn!X24</f>
        <v>13</v>
      </c>
    </row>
    <row r="25" spans="2:24" collapsed="1"/>
    <row r="26" spans="2:24" s="7" customFormat="1" ht="12.75">
      <c r="B26" s="7" t="s">
        <v>230</v>
      </c>
    </row>
    <row r="27" spans="2:24">
      <c r="D27" s="26"/>
    </row>
    <row r="28" spans="2:24" hidden="1" outlineLevel="1">
      <c r="C28" s="26" t="str">
        <f>Asmptn!C380</f>
        <v>Revenues</v>
      </c>
    </row>
    <row r="29" spans="2:24" hidden="1" outlineLevel="1"/>
    <row r="30" spans="2:24" hidden="1" outlineLevel="1">
      <c r="D30" s="28" t="str">
        <f>Asmptn!D382</f>
        <v>Revenue Category 1</v>
      </c>
      <c r="L30" s="11">
        <f>Asmptn!L382</f>
        <v>20</v>
      </c>
      <c r="M30" s="11">
        <f>Asmptn!M382</f>
        <v>21.200000000000003</v>
      </c>
      <c r="N30" s="11">
        <f>Asmptn!N382</f>
        <v>22.472000000000005</v>
      </c>
      <c r="O30" s="11">
        <f>Asmptn!O382</f>
        <v>23.820320000000006</v>
      </c>
      <c r="P30" s="11">
        <f>Asmptn!P382</f>
        <v>25.249539200000008</v>
      </c>
      <c r="Q30" s="11">
        <f>Asmptn!Q382</f>
        <v>26.764511552000009</v>
      </c>
      <c r="R30" s="11">
        <f>Asmptn!R382</f>
        <v>28.370382245120012</v>
      </c>
      <c r="S30" s="11">
        <f>Asmptn!S382</f>
        <v>30.072605179827214</v>
      </c>
      <c r="T30" s="11">
        <f>Asmptn!T382</f>
        <v>31.87696149061685</v>
      </c>
      <c r="U30" s="11">
        <f>Asmptn!U382</f>
        <v>33.789579180053863</v>
      </c>
      <c r="V30" s="11">
        <f>Asmptn!V382</f>
        <v>35.816953930857096</v>
      </c>
      <c r="W30" s="11">
        <f>Asmptn!W382</f>
        <v>37.96597116670852</v>
      </c>
      <c r="X30" s="11">
        <f>Asmptn!X382</f>
        <v>40.243929436711035</v>
      </c>
    </row>
    <row r="31" spans="2:24" hidden="1" outlineLevel="1">
      <c r="D31" s="28" t="str">
        <f>Asmptn!D383</f>
        <v>Revenue Category 2</v>
      </c>
      <c r="L31" s="11">
        <f>Asmptn!L383</f>
        <v>20</v>
      </c>
      <c r="M31" s="11">
        <f>Asmptn!M383</f>
        <v>21.400000000000002</v>
      </c>
      <c r="N31" s="11">
        <f>Asmptn!N383</f>
        <v>22.898000000000003</v>
      </c>
      <c r="O31" s="11">
        <f>Asmptn!O383</f>
        <v>24.500860000000007</v>
      </c>
      <c r="P31" s="11">
        <f>Asmptn!P383</f>
        <v>26.21592020000001</v>
      </c>
      <c r="Q31" s="11">
        <f>Asmptn!Q383</f>
        <v>28.051034614000013</v>
      </c>
      <c r="R31" s="11">
        <f>Asmptn!R383</f>
        <v>30.014607036980017</v>
      </c>
      <c r="S31" s="11">
        <f>Asmptn!S383</f>
        <v>32.115629529568622</v>
      </c>
      <c r="T31" s="11">
        <f>Asmptn!T383</f>
        <v>34.36372359663843</v>
      </c>
      <c r="U31" s="11">
        <f>Asmptn!U383</f>
        <v>36.769184248403121</v>
      </c>
      <c r="V31" s="11">
        <f>Asmptn!V383</f>
        <v>39.343027145791339</v>
      </c>
      <c r="W31" s="11">
        <f>Asmptn!W383</f>
        <v>42.097039045996738</v>
      </c>
      <c r="X31" s="11">
        <f>Asmptn!X383</f>
        <v>45.043831779216511</v>
      </c>
    </row>
    <row r="32" spans="2:24" hidden="1" outlineLevel="1">
      <c r="D32" s="28" t="str">
        <f>Asmptn!D384</f>
        <v>Revenue Category 3</v>
      </c>
      <c r="L32" s="11">
        <f>Asmptn!L384</f>
        <v>20</v>
      </c>
      <c r="M32" s="11">
        <f>Asmptn!M384</f>
        <v>21.6</v>
      </c>
      <c r="N32" s="11">
        <f>Asmptn!N384</f>
        <v>23.328000000000003</v>
      </c>
      <c r="O32" s="11">
        <f>Asmptn!O384</f>
        <v>25.194240000000004</v>
      </c>
      <c r="P32" s="11">
        <f>Asmptn!P384</f>
        <v>27.209779200000007</v>
      </c>
      <c r="Q32" s="11">
        <f>Asmptn!Q384</f>
        <v>29.386561536000009</v>
      </c>
      <c r="R32" s="11">
        <f>Asmptn!R384</f>
        <v>31.737486458880014</v>
      </c>
      <c r="S32" s="11">
        <f>Asmptn!S384</f>
        <v>34.276485375590418</v>
      </c>
      <c r="T32" s="11">
        <f>Asmptn!T384</f>
        <v>37.018604205637658</v>
      </c>
      <c r="U32" s="11">
        <f>Asmptn!U384</f>
        <v>39.98009254208867</v>
      </c>
      <c r="V32" s="11">
        <f>Asmptn!V384</f>
        <v>43.178499945455769</v>
      </c>
      <c r="W32" s="11">
        <f>Asmptn!W384</f>
        <v>46.632779941092231</v>
      </c>
      <c r="X32" s="11">
        <f>Asmptn!X384</f>
        <v>50.363402336379615</v>
      </c>
    </row>
    <row r="33" spans="3:24" hidden="1" outlineLevel="1">
      <c r="D33" s="28" t="str">
        <f>Asmptn!D385</f>
        <v>Revenue Category 4</v>
      </c>
      <c r="L33" s="11">
        <f>Asmptn!L385</f>
        <v>20</v>
      </c>
      <c r="M33" s="11">
        <f>Asmptn!M385</f>
        <v>21.8</v>
      </c>
      <c r="N33" s="11">
        <f>Asmptn!N385</f>
        <v>23.762000000000004</v>
      </c>
      <c r="O33" s="11">
        <f>Asmptn!O385</f>
        <v>25.900580000000005</v>
      </c>
      <c r="P33" s="11">
        <f>Asmptn!P385</f>
        <v>28.231632200000007</v>
      </c>
      <c r="Q33" s="11">
        <f>Asmptn!Q385</f>
        <v>30.772479098000009</v>
      </c>
      <c r="R33" s="11">
        <f>Asmptn!R385</f>
        <v>33.542002216820009</v>
      </c>
      <c r="S33" s="11">
        <f>Asmptn!S385</f>
        <v>36.560782416333815</v>
      </c>
      <c r="T33" s="11">
        <f>Asmptn!T385</f>
        <v>39.851252833803862</v>
      </c>
      <c r="U33" s="11">
        <f>Asmptn!U385</f>
        <v>43.437865588846215</v>
      </c>
      <c r="V33" s="11">
        <f>Asmptn!V385</f>
        <v>47.34727349184238</v>
      </c>
      <c r="W33" s="11">
        <f>Asmptn!W385</f>
        <v>51.608528106108196</v>
      </c>
      <c r="X33" s="11">
        <f>Asmptn!X385</f>
        <v>56.253295635657935</v>
      </c>
    </row>
    <row r="34" spans="3:24" hidden="1" outlineLevel="1">
      <c r="D34" s="28" t="str">
        <f>Asmptn!D386</f>
        <v>Revenue Category 5</v>
      </c>
      <c r="L34" s="52">
        <f>Asmptn!L386</f>
        <v>20</v>
      </c>
      <c r="M34" s="52">
        <f>Asmptn!M386</f>
        <v>22</v>
      </c>
      <c r="N34" s="52">
        <f>Asmptn!N386</f>
        <v>24.200000000000003</v>
      </c>
      <c r="O34" s="52">
        <f>Asmptn!O386</f>
        <v>26.620000000000005</v>
      </c>
      <c r="P34" s="52">
        <f>Asmptn!P386</f>
        <v>29.282000000000007</v>
      </c>
      <c r="Q34" s="52">
        <f>Asmptn!Q386</f>
        <v>32.210200000000007</v>
      </c>
      <c r="R34" s="52">
        <f>Asmptn!R386</f>
        <v>35.43122000000001</v>
      </c>
      <c r="S34" s="52">
        <f>Asmptn!S386</f>
        <v>38.974342000000014</v>
      </c>
      <c r="T34" s="52">
        <f>Asmptn!T386</f>
        <v>42.871776200000021</v>
      </c>
      <c r="U34" s="52">
        <f>Asmptn!U386</f>
        <v>47.158953820000029</v>
      </c>
      <c r="V34" s="52">
        <f>Asmptn!V386</f>
        <v>51.874849202000036</v>
      </c>
      <c r="W34" s="52">
        <f>Asmptn!W386</f>
        <v>57.062334122200042</v>
      </c>
      <c r="X34" s="52">
        <f>Asmptn!X386</f>
        <v>62.76856753442005</v>
      </c>
    </row>
    <row r="35" spans="3:24" hidden="1" outlineLevel="1">
      <c r="D35" s="28" t="str">
        <f>Asmptn!D387</f>
        <v>Sub Total</v>
      </c>
      <c r="L35" s="11">
        <f>SUM(L30:L34)</f>
        <v>100</v>
      </c>
      <c r="M35" s="11">
        <f t="shared" ref="M35:X35" si="0">SUM(M30:M34)</f>
        <v>108.00000000000001</v>
      </c>
      <c r="N35" s="11">
        <f t="shared" si="0"/>
        <v>116.66000000000001</v>
      </c>
      <c r="O35" s="11">
        <f t="shared" si="0"/>
        <v>126.03600000000003</v>
      </c>
      <c r="P35" s="11">
        <f t="shared" si="0"/>
        <v>136.18887080000005</v>
      </c>
      <c r="Q35" s="11">
        <f t="shared" si="0"/>
        <v>147.18478680000004</v>
      </c>
      <c r="R35" s="11">
        <f t="shared" si="0"/>
        <v>159.09569795780004</v>
      </c>
      <c r="S35" s="11">
        <f t="shared" si="0"/>
        <v>171.99984450132007</v>
      </c>
      <c r="T35" s="11">
        <f t="shared" si="0"/>
        <v>185.98231832669683</v>
      </c>
      <c r="U35" s="11">
        <f t="shared" si="0"/>
        <v>201.1356753793919</v>
      </c>
      <c r="V35" s="11">
        <f t="shared" si="0"/>
        <v>217.56060371594663</v>
      </c>
      <c r="W35" s="11">
        <f t="shared" si="0"/>
        <v>235.36665238210571</v>
      </c>
      <c r="X35" s="11">
        <f t="shared" si="0"/>
        <v>254.67302672238515</v>
      </c>
    </row>
    <row r="36" spans="3:24" hidden="1" outlineLevel="1"/>
    <row r="37" spans="3:24" collapsed="1">
      <c r="D37" s="28" t="str">
        <f>Asmptn!D389</f>
        <v>Total Revenue</v>
      </c>
      <c r="L37" s="11">
        <f>L35</f>
        <v>100</v>
      </c>
      <c r="M37" s="11">
        <f t="shared" ref="M37:X37" si="1">M35</f>
        <v>108.00000000000001</v>
      </c>
      <c r="N37" s="11">
        <f t="shared" si="1"/>
        <v>116.66000000000001</v>
      </c>
      <c r="O37" s="11">
        <f t="shared" si="1"/>
        <v>126.03600000000003</v>
      </c>
      <c r="P37" s="11">
        <f t="shared" si="1"/>
        <v>136.18887080000005</v>
      </c>
      <c r="Q37" s="11">
        <f t="shared" si="1"/>
        <v>147.18478680000004</v>
      </c>
      <c r="R37" s="11">
        <f t="shared" si="1"/>
        <v>159.09569795780004</v>
      </c>
      <c r="S37" s="11">
        <f t="shared" si="1"/>
        <v>171.99984450132007</v>
      </c>
      <c r="T37" s="11">
        <f t="shared" si="1"/>
        <v>185.98231832669683</v>
      </c>
      <c r="U37" s="11">
        <f t="shared" si="1"/>
        <v>201.1356753793919</v>
      </c>
      <c r="V37" s="11">
        <f t="shared" si="1"/>
        <v>217.56060371594663</v>
      </c>
      <c r="W37" s="11">
        <f t="shared" si="1"/>
        <v>235.36665238210571</v>
      </c>
      <c r="X37" s="11">
        <f t="shared" si="1"/>
        <v>254.67302672238515</v>
      </c>
    </row>
    <row r="38" spans="3:24" hidden="1" outlineLevel="1"/>
    <row r="39" spans="3:24" hidden="1" outlineLevel="1">
      <c r="C39" s="26" t="str">
        <f>Asmptn!C391</f>
        <v>Cost of Sales</v>
      </c>
    </row>
    <row r="40" spans="3:24" hidden="1" outlineLevel="1">
      <c r="D40" s="26"/>
    </row>
    <row r="41" spans="3:24" hidden="1" outlineLevel="1">
      <c r="D41" s="28" t="str">
        <f>Asmptn!D393</f>
        <v>Cost of Sales Category 1</v>
      </c>
      <c r="L41" s="11">
        <f>-Asmptn!L393</f>
        <v>-10.25</v>
      </c>
      <c r="M41" s="11">
        <f>-Asmptn!M393</f>
        <v>-10.50625</v>
      </c>
      <c r="N41" s="11">
        <f>-Asmptn!N393</f>
        <v>-10.768906249999999</v>
      </c>
      <c r="O41" s="11">
        <f>-Asmptn!O393</f>
        <v>-11.038128906249998</v>
      </c>
      <c r="P41" s="11">
        <f>-Asmptn!P393</f>
        <v>-11.314082128906247</v>
      </c>
      <c r="Q41" s="11">
        <f>-Asmptn!Q393</f>
        <v>-11.596934182128901</v>
      </c>
      <c r="R41" s="11">
        <f>-Asmptn!R393</f>
        <v>-11.886857536682124</v>
      </c>
      <c r="S41" s="11">
        <f>-Asmptn!S393</f>
        <v>-12.184028975099176</v>
      </c>
      <c r="T41" s="11">
        <f>-Asmptn!T393</f>
        <v>-12.488629699476654</v>
      </c>
      <c r="U41" s="11">
        <f>-Asmptn!U393</f>
        <v>-12.800845441963569</v>
      </c>
      <c r="V41" s="11">
        <f>-Asmptn!V393</f>
        <v>-13.120866578012656</v>
      </c>
      <c r="W41" s="11">
        <f>-Asmptn!W393</f>
        <v>-13.448888242462971</v>
      </c>
      <c r="X41" s="11">
        <f>-Asmptn!X393</f>
        <v>-13.785110448524543</v>
      </c>
    </row>
    <row r="42" spans="3:24" hidden="1" outlineLevel="1">
      <c r="D42" s="28" t="str">
        <f>Asmptn!D394</f>
        <v>Cost of Sales Category 2</v>
      </c>
      <c r="L42" s="11">
        <f>-Asmptn!L394</f>
        <v>-11.274999999999999</v>
      </c>
      <c r="M42" s="11">
        <f>-Asmptn!M394</f>
        <v>-11.556874999999998</v>
      </c>
      <c r="N42" s="11">
        <f>-Asmptn!N394</f>
        <v>-11.845796874999998</v>
      </c>
      <c r="O42" s="11">
        <f>-Asmptn!O394</f>
        <v>-12.141941796874997</v>
      </c>
      <c r="P42" s="11">
        <f>-Asmptn!P394</f>
        <v>-12.445490341796871</v>
      </c>
      <c r="Q42" s="11">
        <f>-Asmptn!Q394</f>
        <v>-12.756627600341792</v>
      </c>
      <c r="R42" s="11">
        <f>-Asmptn!R394</f>
        <v>-13.075543290350335</v>
      </c>
      <c r="S42" s="11">
        <f>-Asmptn!S394</f>
        <v>-13.402431872609093</v>
      </c>
      <c r="T42" s="11">
        <f>-Asmptn!T394</f>
        <v>-13.737492669424318</v>
      </c>
      <c r="U42" s="11">
        <f>-Asmptn!U394</f>
        <v>-14.080929986159925</v>
      </c>
      <c r="V42" s="11">
        <f>-Asmptn!V394</f>
        <v>-14.432953235813921</v>
      </c>
      <c r="W42" s="11">
        <f>-Asmptn!W394</f>
        <v>-14.793777066709268</v>
      </c>
      <c r="X42" s="11">
        <f>-Asmptn!X394</f>
        <v>-15.163621493376999</v>
      </c>
    </row>
    <row r="43" spans="3:24" hidden="1" outlineLevel="1">
      <c r="D43" s="28" t="str">
        <f>Asmptn!D395</f>
        <v>Cost of Sales Category 3</v>
      </c>
      <c r="L43" s="11">
        <f>-Asmptn!L395</f>
        <v>-12.299999999999999</v>
      </c>
      <c r="M43" s="11">
        <f>-Asmptn!M395</f>
        <v>-12.607499999999998</v>
      </c>
      <c r="N43" s="11">
        <f>-Asmptn!N395</f>
        <v>-12.922687499999997</v>
      </c>
      <c r="O43" s="11">
        <f>-Asmptn!O395</f>
        <v>-13.245754687499996</v>
      </c>
      <c r="P43" s="11">
        <f>-Asmptn!P395</f>
        <v>-13.576898554687496</v>
      </c>
      <c r="Q43" s="11">
        <f>-Asmptn!Q395</f>
        <v>-13.916321018554681</v>
      </c>
      <c r="R43" s="11">
        <f>-Asmptn!R395</f>
        <v>-14.264229044018547</v>
      </c>
      <c r="S43" s="11">
        <f>-Asmptn!S395</f>
        <v>-14.620834770119009</v>
      </c>
      <c r="T43" s="11">
        <f>-Asmptn!T395</f>
        <v>-14.986355639371983</v>
      </c>
      <c r="U43" s="11">
        <f>-Asmptn!U395</f>
        <v>-15.361014530356281</v>
      </c>
      <c r="V43" s="11">
        <f>-Asmptn!V395</f>
        <v>-15.745039893615186</v>
      </c>
      <c r="W43" s="11">
        <f>-Asmptn!W395</f>
        <v>-16.138665890955565</v>
      </c>
      <c r="X43" s="11">
        <f>-Asmptn!X395</f>
        <v>-16.542132538229453</v>
      </c>
    </row>
    <row r="44" spans="3:24" hidden="1" outlineLevel="1">
      <c r="D44" s="28" t="str">
        <f>Asmptn!D396</f>
        <v>Cost of Sales Category 4</v>
      </c>
      <c r="L44" s="11">
        <f>-Asmptn!L396</f>
        <v>-13.324999999999999</v>
      </c>
      <c r="M44" s="11">
        <f>-Asmptn!M396</f>
        <v>-13.658124999999998</v>
      </c>
      <c r="N44" s="11">
        <f>-Asmptn!N396</f>
        <v>-13.999578124999998</v>
      </c>
      <c r="O44" s="11">
        <f>-Asmptn!O396</f>
        <v>-14.349567578124995</v>
      </c>
      <c r="P44" s="11">
        <f>-Asmptn!P396</f>
        <v>-14.708306767578119</v>
      </c>
      <c r="Q44" s="11">
        <f>-Asmptn!Q396</f>
        <v>-15.07601443676757</v>
      </c>
      <c r="R44" s="11">
        <f>-Asmptn!R396</f>
        <v>-15.452914797686759</v>
      </c>
      <c r="S44" s="11">
        <f>-Asmptn!S396</f>
        <v>-15.839237667628927</v>
      </c>
      <c r="T44" s="11">
        <f>-Asmptn!T396</f>
        <v>-16.235218609319649</v>
      </c>
      <c r="U44" s="11">
        <f>-Asmptn!U396</f>
        <v>-16.641099074552638</v>
      </c>
      <c r="V44" s="11">
        <f>-Asmptn!V396</f>
        <v>-17.057126551416452</v>
      </c>
      <c r="W44" s="11">
        <f>-Asmptn!W396</f>
        <v>-17.483554715201862</v>
      </c>
      <c r="X44" s="11">
        <f>-Asmptn!X396</f>
        <v>-17.920643583081908</v>
      </c>
    </row>
    <row r="45" spans="3:24" hidden="1" outlineLevel="1">
      <c r="D45" s="28" t="str">
        <f>Asmptn!D397</f>
        <v>Cost of Sales Category 5</v>
      </c>
      <c r="L45" s="11">
        <f>-Asmptn!L397</f>
        <v>-14.349999999999998</v>
      </c>
      <c r="M45" s="11">
        <f>-Asmptn!M397</f>
        <v>-14.708749999999997</v>
      </c>
      <c r="N45" s="11">
        <f>-Asmptn!N397</f>
        <v>-15.076468749999995</v>
      </c>
      <c r="O45" s="11">
        <f>-Asmptn!O397</f>
        <v>-15.453380468749993</v>
      </c>
      <c r="P45" s="11">
        <f>-Asmptn!P397</f>
        <v>-15.839714980468742</v>
      </c>
      <c r="Q45" s="11">
        <f>-Asmptn!Q397</f>
        <v>-16.235707854980458</v>
      </c>
      <c r="R45" s="11">
        <f>-Asmptn!R397</f>
        <v>-16.641600551354969</v>
      </c>
      <c r="S45" s="11">
        <f>-Asmptn!S397</f>
        <v>-17.057640565138843</v>
      </c>
      <c r="T45" s="11">
        <f>-Asmptn!T397</f>
        <v>-17.484081579267311</v>
      </c>
      <c r="U45" s="11">
        <f>-Asmptn!U397</f>
        <v>-17.921183618748991</v>
      </c>
      <c r="V45" s="11">
        <f>-Asmptn!V397</f>
        <v>-18.369213209217715</v>
      </c>
      <c r="W45" s="11">
        <f>-Asmptn!W397</f>
        <v>-18.828443539448156</v>
      </c>
      <c r="X45" s="11">
        <f>-Asmptn!X397</f>
        <v>-19.299154627934357</v>
      </c>
    </row>
    <row r="46" spans="3:24" hidden="1" outlineLevel="1">
      <c r="D46" s="28" t="str">
        <f>Asmptn!D398</f>
        <v>Sub Total</v>
      </c>
      <c r="L46" s="18">
        <f>SUM(L41:L45)</f>
        <v>-61.499999999999986</v>
      </c>
      <c r="M46" s="18">
        <f t="shared" ref="M46:X46" si="2">SUM(M41:M45)</f>
        <v>-63.037499999999994</v>
      </c>
      <c r="N46" s="18">
        <f t="shared" si="2"/>
        <v>-64.613437499999989</v>
      </c>
      <c r="O46" s="18">
        <f t="shared" si="2"/>
        <v>-66.228773437499981</v>
      </c>
      <c r="P46" s="18">
        <f t="shared" si="2"/>
        <v>-67.884492773437472</v>
      </c>
      <c r="Q46" s="18">
        <f t="shared" si="2"/>
        <v>-69.581605092773401</v>
      </c>
      <c r="R46" s="18">
        <f t="shared" si="2"/>
        <v>-71.321145220092745</v>
      </c>
      <c r="S46" s="18">
        <f t="shared" si="2"/>
        <v>-73.104173850595046</v>
      </c>
      <c r="T46" s="18">
        <f t="shared" si="2"/>
        <v>-74.931778196859909</v>
      </c>
      <c r="U46" s="18">
        <f t="shared" si="2"/>
        <v>-76.805072651781416</v>
      </c>
      <c r="V46" s="18">
        <f t="shared" si="2"/>
        <v>-78.725199468075928</v>
      </c>
      <c r="W46" s="18">
        <f t="shared" si="2"/>
        <v>-80.693329454777825</v>
      </c>
      <c r="X46" s="18">
        <f t="shared" si="2"/>
        <v>-82.710662691147263</v>
      </c>
    </row>
    <row r="47" spans="3:24" hidden="1" outlineLevel="1"/>
    <row r="48" spans="3:24" collapsed="1">
      <c r="D48" s="28" t="str">
        <f>Asmptn!D400</f>
        <v>Total Cost of Sales</v>
      </c>
      <c r="L48" s="11">
        <f>L46</f>
        <v>-61.499999999999986</v>
      </c>
      <c r="M48" s="11">
        <f t="shared" ref="M48:X48" si="3">M46</f>
        <v>-63.037499999999994</v>
      </c>
      <c r="N48" s="11">
        <f t="shared" si="3"/>
        <v>-64.613437499999989</v>
      </c>
      <c r="O48" s="11">
        <f t="shared" si="3"/>
        <v>-66.228773437499981</v>
      </c>
      <c r="P48" s="11">
        <f t="shared" si="3"/>
        <v>-67.884492773437472</v>
      </c>
      <c r="Q48" s="11">
        <f t="shared" si="3"/>
        <v>-69.581605092773401</v>
      </c>
      <c r="R48" s="11">
        <f t="shared" si="3"/>
        <v>-71.321145220092745</v>
      </c>
      <c r="S48" s="11">
        <f t="shared" si="3"/>
        <v>-73.104173850595046</v>
      </c>
      <c r="T48" s="11">
        <f t="shared" si="3"/>
        <v>-74.931778196859909</v>
      </c>
      <c r="U48" s="11">
        <f t="shared" si="3"/>
        <v>-76.805072651781416</v>
      </c>
      <c r="V48" s="11">
        <f t="shared" si="3"/>
        <v>-78.725199468075928</v>
      </c>
      <c r="W48" s="11">
        <f t="shared" si="3"/>
        <v>-80.693329454777825</v>
      </c>
      <c r="X48" s="11">
        <f t="shared" si="3"/>
        <v>-82.710662691147263</v>
      </c>
    </row>
    <row r="49" spans="3:24" hidden="1" outlineLevel="1"/>
    <row r="50" spans="3:24" collapsed="1">
      <c r="C50" s="25" t="s">
        <v>231</v>
      </c>
      <c r="L50" s="61">
        <f t="shared" ref="L50:X50" si="4">L37+L48</f>
        <v>38.500000000000014</v>
      </c>
      <c r="M50" s="61">
        <f t="shared" si="4"/>
        <v>44.96250000000002</v>
      </c>
      <c r="N50" s="61">
        <f t="shared" si="4"/>
        <v>52.046562500000022</v>
      </c>
      <c r="O50" s="61">
        <f t="shared" si="4"/>
        <v>59.807226562500048</v>
      </c>
      <c r="P50" s="61">
        <f t="shared" si="4"/>
        <v>68.304378026562574</v>
      </c>
      <c r="Q50" s="61">
        <f t="shared" si="4"/>
        <v>77.603181707226639</v>
      </c>
      <c r="R50" s="61">
        <f t="shared" si="4"/>
        <v>87.774552737707296</v>
      </c>
      <c r="S50" s="61">
        <f t="shared" si="4"/>
        <v>98.895670650725023</v>
      </c>
      <c r="T50" s="61">
        <f t="shared" si="4"/>
        <v>111.05054012983692</v>
      </c>
      <c r="U50" s="61">
        <f t="shared" si="4"/>
        <v>124.33060272761048</v>
      </c>
      <c r="V50" s="61">
        <f t="shared" si="4"/>
        <v>138.83540424787071</v>
      </c>
      <c r="W50" s="61">
        <f t="shared" si="4"/>
        <v>154.67332292732789</v>
      </c>
      <c r="X50" s="61">
        <f t="shared" si="4"/>
        <v>171.96236403123788</v>
      </c>
    </row>
    <row r="52" spans="3:24" hidden="1" outlineLevel="1">
      <c r="C52" s="26" t="str">
        <f>Asmptn!C402</f>
        <v>Operating Expenditure</v>
      </c>
    </row>
    <row r="53" spans="3:24" hidden="1" outlineLevel="1"/>
    <row r="54" spans="3:24" hidden="1" outlineLevel="1">
      <c r="D54" s="28" t="str">
        <f>Asmptn!D404</f>
        <v>Expense Category 1</v>
      </c>
      <c r="L54" s="11">
        <f>-Asmptn!L404</f>
        <v>0</v>
      </c>
      <c r="M54" s="11">
        <f>-Asmptn!M404</f>
        <v>0</v>
      </c>
      <c r="N54" s="11">
        <f>-Asmptn!N404</f>
        <v>-10</v>
      </c>
      <c r="O54" s="11">
        <f>-Asmptn!O404</f>
        <v>0</v>
      </c>
      <c r="P54" s="11">
        <f>-Asmptn!P404</f>
        <v>-10</v>
      </c>
      <c r="Q54" s="11">
        <f>-Asmptn!Q404</f>
        <v>0</v>
      </c>
      <c r="R54" s="11">
        <f>-Asmptn!R404</f>
        <v>-10</v>
      </c>
      <c r="S54" s="11">
        <f>-Asmptn!S404</f>
        <v>0</v>
      </c>
      <c r="T54" s="11">
        <f>-Asmptn!T404</f>
        <v>-10</v>
      </c>
      <c r="U54" s="11">
        <f>-Asmptn!U404</f>
        <v>0</v>
      </c>
      <c r="V54" s="11">
        <f>-Asmptn!V404</f>
        <v>-10</v>
      </c>
      <c r="W54" s="11">
        <f>-Asmptn!W404</f>
        <v>0</v>
      </c>
      <c r="X54" s="11">
        <f>-Asmptn!X404</f>
        <v>-10</v>
      </c>
    </row>
    <row r="55" spans="3:24" hidden="1" outlineLevel="1">
      <c r="D55" s="28" t="str">
        <f>Asmptn!D405</f>
        <v>Expense Category 2</v>
      </c>
      <c r="L55" s="11">
        <f>-Asmptn!L405</f>
        <v>-6</v>
      </c>
      <c r="M55" s="11">
        <f>-Asmptn!M405</f>
        <v>0</v>
      </c>
      <c r="N55" s="11">
        <f>-Asmptn!N405</f>
        <v>0</v>
      </c>
      <c r="O55" s="11">
        <f>-Asmptn!O405</f>
        <v>-6</v>
      </c>
      <c r="P55" s="11">
        <f>-Asmptn!P405</f>
        <v>0</v>
      </c>
      <c r="Q55" s="11">
        <f>-Asmptn!Q405</f>
        <v>0</v>
      </c>
      <c r="R55" s="11">
        <f>-Asmptn!R405</f>
        <v>-6</v>
      </c>
      <c r="S55" s="11">
        <f>-Asmptn!S405</f>
        <v>0</v>
      </c>
      <c r="T55" s="11">
        <f>-Asmptn!T405</f>
        <v>0</v>
      </c>
      <c r="U55" s="11">
        <f>-Asmptn!U405</f>
        <v>-6</v>
      </c>
      <c r="V55" s="11">
        <f>-Asmptn!V405</f>
        <v>0</v>
      </c>
      <c r="W55" s="11">
        <f>-Asmptn!W405</f>
        <v>0</v>
      </c>
      <c r="X55" s="11">
        <f>-Asmptn!X405</f>
        <v>-6</v>
      </c>
    </row>
    <row r="56" spans="3:24" hidden="1" outlineLevel="1">
      <c r="D56" s="28" t="str">
        <f>Asmptn!D406</f>
        <v>Expense Category 3</v>
      </c>
      <c r="L56" s="11">
        <f>-Asmptn!L406</f>
        <v>0</v>
      </c>
      <c r="M56" s="11">
        <f>-Asmptn!M406</f>
        <v>-12</v>
      </c>
      <c r="N56" s="11">
        <f>-Asmptn!N406</f>
        <v>0</v>
      </c>
      <c r="O56" s="11">
        <f>-Asmptn!O406</f>
        <v>0</v>
      </c>
      <c r="P56" s="11">
        <f>-Asmptn!P406</f>
        <v>0</v>
      </c>
      <c r="Q56" s="11">
        <f>-Asmptn!Q406</f>
        <v>-12</v>
      </c>
      <c r="R56" s="11">
        <f>-Asmptn!R406</f>
        <v>0</v>
      </c>
      <c r="S56" s="11">
        <f>-Asmptn!S406</f>
        <v>0</v>
      </c>
      <c r="T56" s="11">
        <f>-Asmptn!T406</f>
        <v>0</v>
      </c>
      <c r="U56" s="11">
        <f>-Asmptn!U406</f>
        <v>-12</v>
      </c>
      <c r="V56" s="11">
        <f>-Asmptn!V406</f>
        <v>0</v>
      </c>
      <c r="W56" s="11">
        <f>-Asmptn!W406</f>
        <v>0</v>
      </c>
      <c r="X56" s="11">
        <f>-Asmptn!X406</f>
        <v>0</v>
      </c>
    </row>
    <row r="57" spans="3:24" hidden="1" outlineLevel="1">
      <c r="D57" s="28" t="str">
        <f>Asmptn!D407</f>
        <v>Expense Category 4</v>
      </c>
      <c r="L57" s="11">
        <f>-Asmptn!L407</f>
        <v>0</v>
      </c>
      <c r="M57" s="11">
        <f>-Asmptn!M407</f>
        <v>0</v>
      </c>
      <c r="N57" s="11">
        <f>-Asmptn!N407</f>
        <v>-13</v>
      </c>
      <c r="O57" s="11">
        <f>-Asmptn!O407</f>
        <v>-13</v>
      </c>
      <c r="P57" s="11">
        <f>-Asmptn!P407</f>
        <v>-13</v>
      </c>
      <c r="Q57" s="11">
        <f>-Asmptn!Q407</f>
        <v>-13</v>
      </c>
      <c r="R57" s="11">
        <f>-Asmptn!R407</f>
        <v>-13</v>
      </c>
      <c r="S57" s="11">
        <f>-Asmptn!S407</f>
        <v>-13</v>
      </c>
      <c r="T57" s="11">
        <f>-Asmptn!T407</f>
        <v>-13</v>
      </c>
      <c r="U57" s="11">
        <f>-Asmptn!U407</f>
        <v>-13</v>
      </c>
      <c r="V57" s="11">
        <f>-Asmptn!V407</f>
        <v>-13</v>
      </c>
      <c r="W57" s="11">
        <f>-Asmptn!W407</f>
        <v>-13</v>
      </c>
      <c r="X57" s="11">
        <f>-Asmptn!X407</f>
        <v>-13</v>
      </c>
    </row>
    <row r="58" spans="3:24" hidden="1" outlineLevel="1">
      <c r="D58" s="28" t="str">
        <f>Asmptn!D408</f>
        <v>Expense Category 5</v>
      </c>
      <c r="L58" s="11">
        <f>-Asmptn!L408</f>
        <v>0</v>
      </c>
      <c r="M58" s="11">
        <f>-Asmptn!M408</f>
        <v>0</v>
      </c>
      <c r="N58" s="11">
        <f>-Asmptn!N408</f>
        <v>0</v>
      </c>
      <c r="O58" s="11">
        <f>-Asmptn!O408</f>
        <v>-14</v>
      </c>
      <c r="P58" s="11">
        <f>-Asmptn!P408</f>
        <v>0</v>
      </c>
      <c r="Q58" s="11">
        <f>-Asmptn!Q408</f>
        <v>0</v>
      </c>
      <c r="R58" s="11">
        <f>-Asmptn!R408</f>
        <v>0</v>
      </c>
      <c r="S58" s="11">
        <f>-Asmptn!S408</f>
        <v>0</v>
      </c>
      <c r="T58" s="11">
        <f>-Asmptn!T408</f>
        <v>0</v>
      </c>
      <c r="U58" s="11">
        <f>-Asmptn!U408</f>
        <v>0</v>
      </c>
      <c r="V58" s="11">
        <f>-Asmptn!V408</f>
        <v>0</v>
      </c>
      <c r="W58" s="11">
        <f>-Asmptn!W408</f>
        <v>0</v>
      </c>
      <c r="X58" s="11">
        <f>-Asmptn!X408</f>
        <v>0</v>
      </c>
    </row>
    <row r="59" spans="3:24" hidden="1" outlineLevel="1">
      <c r="D59" s="28" t="str">
        <f>Asmptn!D409</f>
        <v>Sub Total</v>
      </c>
      <c r="L59" s="18">
        <f>SUM(L54:L58)</f>
        <v>-6</v>
      </c>
      <c r="M59" s="18">
        <f t="shared" ref="M59:X59" si="5">SUM(M54:M58)</f>
        <v>-12</v>
      </c>
      <c r="N59" s="18">
        <f t="shared" si="5"/>
        <v>-23</v>
      </c>
      <c r="O59" s="18">
        <f t="shared" si="5"/>
        <v>-33</v>
      </c>
      <c r="P59" s="18">
        <f t="shared" si="5"/>
        <v>-23</v>
      </c>
      <c r="Q59" s="18">
        <f t="shared" si="5"/>
        <v>-25</v>
      </c>
      <c r="R59" s="18">
        <f t="shared" si="5"/>
        <v>-29</v>
      </c>
      <c r="S59" s="18">
        <f t="shared" si="5"/>
        <v>-13</v>
      </c>
      <c r="T59" s="18">
        <f t="shared" si="5"/>
        <v>-23</v>
      </c>
      <c r="U59" s="18">
        <f t="shared" si="5"/>
        <v>-31</v>
      </c>
      <c r="V59" s="18">
        <f t="shared" si="5"/>
        <v>-23</v>
      </c>
      <c r="W59" s="18">
        <f t="shared" si="5"/>
        <v>-13</v>
      </c>
      <c r="X59" s="18">
        <f t="shared" si="5"/>
        <v>-29</v>
      </c>
    </row>
    <row r="60" spans="3:24" hidden="1" outlineLevel="1">
      <c r="L60" s="2"/>
      <c r="M60" s="2"/>
      <c r="N60" s="2"/>
      <c r="O60" s="2"/>
      <c r="P60" s="2"/>
      <c r="Q60" s="2"/>
      <c r="R60" s="2"/>
      <c r="S60" s="2"/>
      <c r="T60" s="2"/>
      <c r="U60" s="2"/>
      <c r="V60" s="2"/>
      <c r="W60" s="2"/>
      <c r="X60" s="2"/>
    </row>
    <row r="61" spans="3:24" collapsed="1">
      <c r="D61" s="28" t="str">
        <f>Asmptn!D411</f>
        <v>Total Opex</v>
      </c>
      <c r="L61" s="11">
        <f>L59</f>
        <v>-6</v>
      </c>
      <c r="M61" s="11">
        <f t="shared" ref="M61:X61" si="6">M59</f>
        <v>-12</v>
      </c>
      <c r="N61" s="11">
        <f t="shared" si="6"/>
        <v>-23</v>
      </c>
      <c r="O61" s="11">
        <f t="shared" si="6"/>
        <v>-33</v>
      </c>
      <c r="P61" s="11">
        <f t="shared" si="6"/>
        <v>-23</v>
      </c>
      <c r="Q61" s="11">
        <f t="shared" si="6"/>
        <v>-25</v>
      </c>
      <c r="R61" s="11">
        <f t="shared" si="6"/>
        <v>-29</v>
      </c>
      <c r="S61" s="11">
        <f t="shared" si="6"/>
        <v>-13</v>
      </c>
      <c r="T61" s="11">
        <f t="shared" si="6"/>
        <v>-23</v>
      </c>
      <c r="U61" s="11">
        <f t="shared" si="6"/>
        <v>-31</v>
      </c>
      <c r="V61" s="11">
        <f t="shared" si="6"/>
        <v>-23</v>
      </c>
      <c r="W61" s="11">
        <f t="shared" si="6"/>
        <v>-13</v>
      </c>
      <c r="X61" s="11">
        <f t="shared" si="6"/>
        <v>-29</v>
      </c>
    </row>
    <row r="63" spans="3:24">
      <c r="C63" s="25" t="s">
        <v>232</v>
      </c>
      <c r="L63" s="61">
        <f t="shared" ref="L63:X63" si="7">L50+L61</f>
        <v>32.500000000000014</v>
      </c>
      <c r="M63" s="61">
        <f t="shared" si="7"/>
        <v>32.96250000000002</v>
      </c>
      <c r="N63" s="61">
        <f t="shared" si="7"/>
        <v>29.046562500000022</v>
      </c>
      <c r="O63" s="61">
        <f t="shared" si="7"/>
        <v>26.807226562500048</v>
      </c>
      <c r="P63" s="61">
        <f t="shared" si="7"/>
        <v>45.304378026562574</v>
      </c>
      <c r="Q63" s="61">
        <f t="shared" si="7"/>
        <v>52.603181707226639</v>
      </c>
      <c r="R63" s="61">
        <f t="shared" si="7"/>
        <v>58.774552737707296</v>
      </c>
      <c r="S63" s="61">
        <f t="shared" si="7"/>
        <v>85.895670650725023</v>
      </c>
      <c r="T63" s="61">
        <f t="shared" si="7"/>
        <v>88.050540129836918</v>
      </c>
      <c r="U63" s="61">
        <f t="shared" si="7"/>
        <v>93.330602727610483</v>
      </c>
      <c r="V63" s="61">
        <f t="shared" si="7"/>
        <v>115.83540424787071</v>
      </c>
      <c r="W63" s="61">
        <f t="shared" si="7"/>
        <v>141.67332292732789</v>
      </c>
      <c r="X63" s="61">
        <f t="shared" si="7"/>
        <v>142.96236403123788</v>
      </c>
    </row>
    <row r="65" spans="3:24" hidden="1" outlineLevel="1">
      <c r="C65" s="25" t="s">
        <v>233</v>
      </c>
    </row>
    <row r="66" spans="3:24" hidden="1" outlineLevel="1"/>
    <row r="67" spans="3:24" hidden="1" outlineLevel="1">
      <c r="D67" s="28" t="str">
        <f>Asmptn!D475</f>
        <v>Asset Class # 1</v>
      </c>
      <c r="L67" s="52">
        <f ca="1">Asmptn!L475</f>
        <v>-7.5</v>
      </c>
      <c r="M67" s="52">
        <f ca="1">Asmptn!M475</f>
        <v>-8.75</v>
      </c>
      <c r="N67" s="52">
        <f ca="1">Asmptn!N475</f>
        <v>-8.75</v>
      </c>
      <c r="O67" s="52">
        <f ca="1">Asmptn!O475</f>
        <v>-8.75</v>
      </c>
      <c r="P67" s="52">
        <f ca="1">Asmptn!P475</f>
        <v>-10.25</v>
      </c>
      <c r="Q67" s="52">
        <f ca="1">Asmptn!Q475</f>
        <v>-11.75</v>
      </c>
      <c r="R67" s="52">
        <f ca="1">Asmptn!R475</f>
        <v>-11.75</v>
      </c>
      <c r="S67" s="52">
        <f ca="1">Asmptn!S475</f>
        <v>-11.75</v>
      </c>
      <c r="T67" s="52">
        <f ca="1">Asmptn!T475</f>
        <v>-7.25</v>
      </c>
      <c r="U67" s="52">
        <f ca="1">Asmptn!U475</f>
        <v>-9</v>
      </c>
      <c r="V67" s="52">
        <f ca="1">Asmptn!V475</f>
        <v>-7.75</v>
      </c>
      <c r="W67" s="52">
        <f ca="1">Asmptn!W475</f>
        <v>-6.5</v>
      </c>
      <c r="X67" s="52">
        <f ca="1">Asmptn!X475</f>
        <v>-6.5</v>
      </c>
    </row>
    <row r="68" spans="3:24" collapsed="1">
      <c r="D68" s="28" t="str">
        <f>Asmptn!D476</f>
        <v>Total Book Depreciation</v>
      </c>
      <c r="L68" s="11">
        <f t="shared" ref="L68:X68" ca="1" si="8">SUM(L67:L67)</f>
        <v>-7.5</v>
      </c>
      <c r="M68" s="11">
        <f t="shared" ca="1" si="8"/>
        <v>-8.75</v>
      </c>
      <c r="N68" s="11">
        <f t="shared" ca="1" si="8"/>
        <v>-8.75</v>
      </c>
      <c r="O68" s="11">
        <f t="shared" ca="1" si="8"/>
        <v>-8.75</v>
      </c>
      <c r="P68" s="11">
        <f t="shared" ca="1" si="8"/>
        <v>-10.25</v>
      </c>
      <c r="Q68" s="11">
        <f t="shared" ca="1" si="8"/>
        <v>-11.75</v>
      </c>
      <c r="R68" s="11">
        <f t="shared" ca="1" si="8"/>
        <v>-11.75</v>
      </c>
      <c r="S68" s="11">
        <f t="shared" ca="1" si="8"/>
        <v>-11.75</v>
      </c>
      <c r="T68" s="11">
        <f t="shared" ca="1" si="8"/>
        <v>-7.25</v>
      </c>
      <c r="U68" s="11">
        <f t="shared" ca="1" si="8"/>
        <v>-9</v>
      </c>
      <c r="V68" s="11">
        <f t="shared" ca="1" si="8"/>
        <v>-7.75</v>
      </c>
      <c r="W68" s="11">
        <f t="shared" ca="1" si="8"/>
        <v>-6.5</v>
      </c>
      <c r="X68" s="11">
        <f t="shared" ca="1" si="8"/>
        <v>-6.5</v>
      </c>
    </row>
    <row r="70" spans="3:24">
      <c r="C70" s="25" t="s">
        <v>234</v>
      </c>
      <c r="L70" s="61">
        <f ca="1">L63+L68</f>
        <v>25.000000000000014</v>
      </c>
      <c r="M70" s="61">
        <f t="shared" ref="M70:X70" ca="1" si="9">M63+M68</f>
        <v>24.21250000000002</v>
      </c>
      <c r="N70" s="61">
        <f t="shared" ca="1" si="9"/>
        <v>20.296562500000022</v>
      </c>
      <c r="O70" s="61">
        <f t="shared" ca="1" si="9"/>
        <v>18.057226562500048</v>
      </c>
      <c r="P70" s="61">
        <f t="shared" ca="1" si="9"/>
        <v>35.054378026562574</v>
      </c>
      <c r="Q70" s="61">
        <f t="shared" ca="1" si="9"/>
        <v>40.853181707226639</v>
      </c>
      <c r="R70" s="61">
        <f t="shared" ca="1" si="9"/>
        <v>47.024552737707296</v>
      </c>
      <c r="S70" s="61">
        <f t="shared" ca="1" si="9"/>
        <v>74.145670650725023</v>
      </c>
      <c r="T70" s="61">
        <f t="shared" ca="1" si="9"/>
        <v>80.800540129836918</v>
      </c>
      <c r="U70" s="61">
        <f t="shared" ca="1" si="9"/>
        <v>84.330602727610483</v>
      </c>
      <c r="V70" s="61">
        <f t="shared" ca="1" si="9"/>
        <v>108.08540424787071</v>
      </c>
      <c r="W70" s="61">
        <f t="shared" ca="1" si="9"/>
        <v>135.17332292732789</v>
      </c>
      <c r="X70" s="61">
        <f t="shared" ca="1" si="9"/>
        <v>136.46236403123788</v>
      </c>
    </row>
    <row r="72" spans="3:24" hidden="1" outlineLevel="1">
      <c r="C72" s="25" t="s">
        <v>235</v>
      </c>
    </row>
    <row r="73" spans="3:24" hidden="1" outlineLevel="1"/>
    <row r="74" spans="3:24" hidden="1" outlineLevel="1">
      <c r="D74" s="28" t="str">
        <f>Asmptn!D509</f>
        <v>Debt Category 1</v>
      </c>
      <c r="L74" s="52">
        <f>-Asmptn!L509</f>
        <v>-1.2375</v>
      </c>
      <c r="M74" s="52">
        <f>-Asmptn!M509</f>
        <v>-1.7999999999999998</v>
      </c>
      <c r="N74" s="52">
        <f>-Asmptn!N509</f>
        <v>-1.7999999999999998</v>
      </c>
      <c r="O74" s="52">
        <f>-Asmptn!O509</f>
        <v>-1.7999999999999998</v>
      </c>
      <c r="P74" s="52">
        <f>-Asmptn!P509</f>
        <v>-2.4750000000000001</v>
      </c>
      <c r="Q74" s="52">
        <f>-Asmptn!Q509</f>
        <v>-3.15</v>
      </c>
      <c r="R74" s="52">
        <f>-Asmptn!R509</f>
        <v>-3.15</v>
      </c>
      <c r="S74" s="52">
        <f>-Asmptn!S509</f>
        <v>-3.15</v>
      </c>
      <c r="T74" s="52">
        <f>-Asmptn!T509</f>
        <v>-3.9375</v>
      </c>
      <c r="U74" s="52">
        <f>-Asmptn!U509</f>
        <v>-4.7249999999999996</v>
      </c>
      <c r="V74" s="52">
        <f>-Asmptn!V509</f>
        <v>-4.7249999999999996</v>
      </c>
      <c r="W74" s="52">
        <f>-Asmptn!W509</f>
        <v>-4.7249999999999996</v>
      </c>
      <c r="X74" s="52">
        <f>-Asmptn!X509</f>
        <v>-4.7249999999999996</v>
      </c>
    </row>
    <row r="75" spans="3:24" collapsed="1">
      <c r="D75" s="28" t="str">
        <f>Asmptn!D510</f>
        <v>Total Interest Expense</v>
      </c>
      <c r="L75" s="11">
        <f t="shared" ref="L75:X75" si="10">SUM(L74:L74)</f>
        <v>-1.2375</v>
      </c>
      <c r="M75" s="11">
        <f t="shared" si="10"/>
        <v>-1.7999999999999998</v>
      </c>
      <c r="N75" s="11">
        <f t="shared" si="10"/>
        <v>-1.7999999999999998</v>
      </c>
      <c r="O75" s="11">
        <f t="shared" si="10"/>
        <v>-1.7999999999999998</v>
      </c>
      <c r="P75" s="11">
        <f t="shared" si="10"/>
        <v>-2.4750000000000001</v>
      </c>
      <c r="Q75" s="11">
        <f t="shared" si="10"/>
        <v>-3.15</v>
      </c>
      <c r="R75" s="11">
        <f t="shared" si="10"/>
        <v>-3.15</v>
      </c>
      <c r="S75" s="11">
        <f t="shared" si="10"/>
        <v>-3.15</v>
      </c>
      <c r="T75" s="11">
        <f t="shared" si="10"/>
        <v>-3.9375</v>
      </c>
      <c r="U75" s="11">
        <f t="shared" si="10"/>
        <v>-4.7249999999999996</v>
      </c>
      <c r="V75" s="11">
        <f t="shared" si="10"/>
        <v>-4.7249999999999996</v>
      </c>
      <c r="W75" s="11">
        <f t="shared" si="10"/>
        <v>-4.7249999999999996</v>
      </c>
      <c r="X75" s="11">
        <f t="shared" si="10"/>
        <v>-4.7249999999999996</v>
      </c>
    </row>
    <row r="77" spans="3:24">
      <c r="C77" s="25" t="s">
        <v>236</v>
      </c>
      <c r="L77" s="61">
        <f t="shared" ref="L77:X77" ca="1" si="11">L70+L75</f>
        <v>23.762500000000014</v>
      </c>
      <c r="M77" s="61">
        <f t="shared" ca="1" si="11"/>
        <v>22.412500000000019</v>
      </c>
      <c r="N77" s="61">
        <f t="shared" ca="1" si="11"/>
        <v>18.496562500000021</v>
      </c>
      <c r="O77" s="61">
        <f t="shared" ca="1" si="11"/>
        <v>16.257226562500048</v>
      </c>
      <c r="P77" s="61">
        <f t="shared" ca="1" si="11"/>
        <v>32.579378026562573</v>
      </c>
      <c r="Q77" s="61">
        <f t="shared" ca="1" si="11"/>
        <v>37.703181707226641</v>
      </c>
      <c r="R77" s="61">
        <f t="shared" ca="1" si="11"/>
        <v>43.874552737707297</v>
      </c>
      <c r="S77" s="61">
        <f t="shared" ca="1" si="11"/>
        <v>70.995670650725017</v>
      </c>
      <c r="T77" s="61">
        <f t="shared" ca="1" si="11"/>
        <v>76.863040129836918</v>
      </c>
      <c r="U77" s="61">
        <f t="shared" ca="1" si="11"/>
        <v>79.605602727610489</v>
      </c>
      <c r="V77" s="61">
        <f t="shared" ca="1" si="11"/>
        <v>103.36040424787072</v>
      </c>
      <c r="W77" s="61">
        <f t="shared" ca="1" si="11"/>
        <v>130.44832292732789</v>
      </c>
      <c r="X77" s="61">
        <f t="shared" ca="1" si="11"/>
        <v>131.73736403123789</v>
      </c>
    </row>
    <row r="79" spans="3:24">
      <c r="D79" s="28" t="str">
        <f>Asmptn!D536</f>
        <v>Tax Expense</v>
      </c>
      <c r="L79" s="11">
        <f ca="1">Asmptn!L536</f>
        <v>-8.9287500000000044</v>
      </c>
      <c r="M79" s="11">
        <f ca="1">Asmptn!M536</f>
        <v>-8.523750000000005</v>
      </c>
      <c r="N79" s="11">
        <f ca="1">Asmptn!N536</f>
        <v>-7.3489687500000063</v>
      </c>
      <c r="O79" s="11">
        <f ca="1">Asmptn!O536</f>
        <v>-6.6771679687500143</v>
      </c>
      <c r="P79" s="11">
        <f ca="1">Asmptn!P536</f>
        <v>-11.573813407968771</v>
      </c>
      <c r="Q79" s="11">
        <f ca="1">Asmptn!Q536</f>
        <v>-13.110954512167991</v>
      </c>
      <c r="R79" s="11">
        <f ca="1">Asmptn!R536</f>
        <v>-14.962365821312188</v>
      </c>
      <c r="S79" s="11">
        <f ca="1">Asmptn!S536</f>
        <v>-23.098701195217505</v>
      </c>
      <c r="T79" s="11">
        <f ca="1">Asmptn!T536</f>
        <v>-24.858912038951075</v>
      </c>
      <c r="U79" s="11">
        <f ca="1">Asmptn!U536</f>
        <v>-25.681680818283144</v>
      </c>
      <c r="V79" s="11">
        <f ca="1">Asmptn!V536</f>
        <v>-32.808121274361213</v>
      </c>
      <c r="W79" s="11">
        <f ca="1">Asmptn!W536</f>
        <v>-40.934496878198367</v>
      </c>
      <c r="X79" s="11">
        <f ca="1">Asmptn!X536</f>
        <v>-41.321209209371368</v>
      </c>
    </row>
    <row r="81" spans="2:24" ht="12" thickBot="1">
      <c r="C81" s="25" t="s">
        <v>129</v>
      </c>
      <c r="L81" s="58">
        <f t="shared" ref="L81:X81" ca="1" si="12">L77+L79</f>
        <v>14.833750000000009</v>
      </c>
      <c r="M81" s="58">
        <f t="shared" ca="1" si="12"/>
        <v>13.888750000000014</v>
      </c>
      <c r="N81" s="58">
        <f t="shared" ca="1" si="12"/>
        <v>11.147593750000015</v>
      </c>
      <c r="O81" s="58">
        <f t="shared" ca="1" si="12"/>
        <v>9.5800585937500333</v>
      </c>
      <c r="P81" s="58">
        <f t="shared" ca="1" si="12"/>
        <v>21.005564618593802</v>
      </c>
      <c r="Q81" s="58">
        <f t="shared" ca="1" si="12"/>
        <v>24.592227195058648</v>
      </c>
      <c r="R81" s="58">
        <f t="shared" ca="1" si="12"/>
        <v>28.912186916395108</v>
      </c>
      <c r="S81" s="58">
        <f t="shared" ca="1" si="12"/>
        <v>47.896969455507516</v>
      </c>
      <c r="T81" s="58">
        <f t="shared" ca="1" si="12"/>
        <v>52.004128090885843</v>
      </c>
      <c r="U81" s="58">
        <f t="shared" ca="1" si="12"/>
        <v>53.923921909327348</v>
      </c>
      <c r="V81" s="58">
        <f t="shared" ca="1" si="12"/>
        <v>70.552282973509506</v>
      </c>
      <c r="W81" s="58">
        <f t="shared" ca="1" si="12"/>
        <v>89.513826049129534</v>
      </c>
      <c r="X81" s="58">
        <f t="shared" ca="1" si="12"/>
        <v>90.416154821866513</v>
      </c>
    </row>
    <row r="82" spans="2:24" ht="12" thickTop="1"/>
    <row r="83" spans="2:24" s="7" customFormat="1" ht="12.75">
      <c r="B83" s="7" t="s">
        <v>237</v>
      </c>
    </row>
    <row r="85" spans="2:24">
      <c r="C85" s="25" t="s">
        <v>238</v>
      </c>
    </row>
    <row r="87" spans="2:24" hidden="1" outlineLevel="1">
      <c r="D87" s="28" t="str">
        <f>Asmptn!$D$314</f>
        <v>Opening Cash Balance</v>
      </c>
      <c r="L87" s="11">
        <f>IF(L$20=1,Asmptn!$L$314,K89)</f>
        <v>65</v>
      </c>
      <c r="M87" s="11">
        <f ca="1">IF(M$20=1,Asmptn!$L$314,L89)</f>
        <v>176.20122345890411</v>
      </c>
      <c r="N87" s="11">
        <f ca="1">IF(N$20=1,Asmptn!$L$314,M89)</f>
        <v>188.44663831335617</v>
      </c>
      <c r="O87" s="11">
        <f ca="1">IF(O$20=1,Asmptn!$L$314,N89)</f>
        <v>195.42748492936647</v>
      </c>
      <c r="P87" s="11">
        <f ca="1">IF(P$20=1,Asmptn!$L$314,O89)</f>
        <v>201.24417116060457</v>
      </c>
      <c r="Q87" s="11">
        <f ca="1">IF(Q$20=1,Asmptn!$L$314,P89)</f>
        <v>224.88570322503148</v>
      </c>
      <c r="R87" s="11" t="e">
        <f ca="1">IF(R$20=1,Asmptn!$L$314,Q89)</f>
        <v>#VALUE!</v>
      </c>
      <c r="S87" s="11" t="e">
        <f ca="1">IF(S$20=1,Asmptn!$L$314,R89)</f>
        <v>#VALUE!</v>
      </c>
      <c r="T87" s="11" t="e">
        <f ca="1">IF(T$20=1,Asmptn!$L$314,S89)</f>
        <v>#VALUE!</v>
      </c>
      <c r="U87" s="11" t="e">
        <f ca="1">IF(U$20=1,Asmptn!$L$314,T89)</f>
        <v>#VALUE!</v>
      </c>
      <c r="V87" s="11" t="e">
        <f ca="1">IF(V$20=1,Asmptn!$L$314,U89)</f>
        <v>#VALUE!</v>
      </c>
      <c r="W87" s="11" t="e">
        <f ca="1">IF(W$20=1,Asmptn!$L$314,V89)</f>
        <v>#VALUE!</v>
      </c>
      <c r="X87" s="11" t="e">
        <f ca="1">IF(X$20=1,Asmptn!$L$314,W89)</f>
        <v>#VALUE!</v>
      </c>
    </row>
    <row r="88" spans="2:24" hidden="1" outlineLevel="1">
      <c r="D88" s="27" t="s">
        <v>239</v>
      </c>
      <c r="L88" s="52">
        <f t="shared" ref="L88:X88" ca="1" si="13">L239</f>
        <v>111.20122345890412</v>
      </c>
      <c r="M88" s="52">
        <f t="shared" ca="1" si="13"/>
        <v>12.245414854452065</v>
      </c>
      <c r="N88" s="52">
        <f t="shared" ca="1" si="13"/>
        <v>6.9808466160102896</v>
      </c>
      <c r="O88" s="52">
        <f t="shared" ca="1" si="13"/>
        <v>5.8166862312380996</v>
      </c>
      <c r="P88" s="52">
        <f t="shared" ca="1" si="13"/>
        <v>23.641532064426897</v>
      </c>
      <c r="Q88" s="52" t="e">
        <f t="shared" ca="1" si="13"/>
        <v>#VALUE!</v>
      </c>
      <c r="R88" s="52" t="e">
        <f t="shared" ca="1" si="13"/>
        <v>#VALUE!</v>
      </c>
      <c r="S88" s="52" t="e">
        <f t="shared" ca="1" si="13"/>
        <v>#VALUE!</v>
      </c>
      <c r="T88" s="52" t="e">
        <f t="shared" ca="1" si="13"/>
        <v>#VALUE!</v>
      </c>
      <c r="U88" s="52" t="e">
        <f t="shared" ca="1" si="13"/>
        <v>#VALUE!</v>
      </c>
      <c r="V88" s="52" t="e">
        <f t="shared" ca="1" si="13"/>
        <v>#VALUE!</v>
      </c>
      <c r="W88" s="52" t="e">
        <f t="shared" ca="1" si="13"/>
        <v>#VALUE!</v>
      </c>
      <c r="X88" s="52" t="e">
        <f t="shared" ca="1" si="13"/>
        <v>#VALUE!</v>
      </c>
    </row>
    <row r="89" spans="2:24" collapsed="1">
      <c r="D89" s="27" t="s">
        <v>240</v>
      </c>
      <c r="L89" s="11">
        <f t="shared" ref="L89:X89" ca="1" si="14">SUM(L87:L88)</f>
        <v>176.20122345890411</v>
      </c>
      <c r="M89" s="11">
        <f t="shared" ca="1" si="14"/>
        <v>188.44663831335617</v>
      </c>
      <c r="N89" s="11">
        <f t="shared" ca="1" si="14"/>
        <v>195.42748492936647</v>
      </c>
      <c r="O89" s="11">
        <f t="shared" ca="1" si="14"/>
        <v>201.24417116060457</v>
      </c>
      <c r="P89" s="11">
        <f t="shared" ca="1" si="14"/>
        <v>224.88570322503148</v>
      </c>
      <c r="Q89" s="11" t="e">
        <f t="shared" ca="1" si="14"/>
        <v>#VALUE!</v>
      </c>
      <c r="R89" s="11" t="e">
        <f t="shared" ca="1" si="14"/>
        <v>#VALUE!</v>
      </c>
      <c r="S89" s="11" t="e">
        <f t="shared" ca="1" si="14"/>
        <v>#VALUE!</v>
      </c>
      <c r="T89" s="11" t="e">
        <f t="shared" ca="1" si="14"/>
        <v>#VALUE!</v>
      </c>
      <c r="U89" s="11" t="e">
        <f t="shared" ca="1" si="14"/>
        <v>#VALUE!</v>
      </c>
      <c r="V89" s="11" t="e">
        <f t="shared" ca="1" si="14"/>
        <v>#VALUE!</v>
      </c>
      <c r="W89" s="11" t="e">
        <f t="shared" ca="1" si="14"/>
        <v>#VALUE!</v>
      </c>
      <c r="X89" s="11" t="e">
        <f t="shared" ca="1" si="14"/>
        <v>#VALUE!</v>
      </c>
    </row>
    <row r="90" spans="2:24" hidden="1" outlineLevel="1"/>
    <row r="91" spans="2:24" hidden="1" outlineLevel="1">
      <c r="D91" s="28" t="str">
        <f>Asmptn!D439</f>
        <v>30 Days Receivable</v>
      </c>
      <c r="L91" s="52">
        <f>Asmptn!L439</f>
        <v>8.2191780821917746</v>
      </c>
      <c r="M91" s="52">
        <f>Asmptn!M439</f>
        <v>8.8767123287671268</v>
      </c>
      <c r="N91" s="52">
        <f>Asmptn!N439</f>
        <v>9.5884931506849256</v>
      </c>
      <c r="O91" s="52">
        <f>Asmptn!O439</f>
        <v>10.330819672131128</v>
      </c>
      <c r="P91" s="52">
        <f>Asmptn!P439</f>
        <v>11.193605819178089</v>
      </c>
      <c r="Q91" s="52">
        <f>Asmptn!Q439</f>
        <v>12.097379736986312</v>
      </c>
      <c r="R91" s="52">
        <f>Asmptn!R439</f>
        <v>13.076358736257532</v>
      </c>
      <c r="S91" s="52">
        <f>Asmptn!S439</f>
        <v>14.098347909944266</v>
      </c>
      <c r="T91" s="52">
        <f>Asmptn!T439</f>
        <v>15.286217944660024</v>
      </c>
      <c r="U91" s="52">
        <f>Asmptn!U439</f>
        <v>16.531699346251401</v>
      </c>
      <c r="V91" s="52">
        <f>Asmptn!V439</f>
        <v>17.881693456105211</v>
      </c>
      <c r="W91" s="52">
        <f>Asmptn!W439</f>
        <v>19.292348555910309</v>
      </c>
      <c r="X91" s="52">
        <f>Asmptn!X439</f>
        <v>20.932029593620712</v>
      </c>
    </row>
    <row r="92" spans="2:24" collapsed="1">
      <c r="D92" s="27" t="s">
        <v>241</v>
      </c>
      <c r="L92" s="11">
        <f t="shared" ref="L92:X92" si="15">SUM(L91:L91)</f>
        <v>8.2191780821917746</v>
      </c>
      <c r="M92" s="11">
        <f t="shared" si="15"/>
        <v>8.8767123287671268</v>
      </c>
      <c r="N92" s="11">
        <f t="shared" si="15"/>
        <v>9.5884931506849256</v>
      </c>
      <c r="O92" s="11">
        <f t="shared" si="15"/>
        <v>10.330819672131128</v>
      </c>
      <c r="P92" s="11">
        <f t="shared" si="15"/>
        <v>11.193605819178089</v>
      </c>
      <c r="Q92" s="11">
        <f t="shared" si="15"/>
        <v>12.097379736986312</v>
      </c>
      <c r="R92" s="11">
        <f t="shared" si="15"/>
        <v>13.076358736257532</v>
      </c>
      <c r="S92" s="11">
        <f t="shared" si="15"/>
        <v>14.098347909944266</v>
      </c>
      <c r="T92" s="11">
        <f t="shared" si="15"/>
        <v>15.286217944660024</v>
      </c>
      <c r="U92" s="11">
        <f t="shared" si="15"/>
        <v>16.531699346251401</v>
      </c>
      <c r="V92" s="11">
        <f t="shared" si="15"/>
        <v>17.881693456105211</v>
      </c>
      <c r="W92" s="11">
        <f t="shared" si="15"/>
        <v>19.292348555910309</v>
      </c>
      <c r="X92" s="11">
        <f t="shared" si="15"/>
        <v>20.932029593620712</v>
      </c>
    </row>
    <row r="93" spans="2:24" hidden="1" outlineLevel="1">
      <c r="D93" s="27"/>
      <c r="L93" s="11"/>
      <c r="M93" s="11"/>
      <c r="N93" s="11"/>
      <c r="O93" s="11"/>
      <c r="P93" s="11"/>
      <c r="Q93" s="11"/>
      <c r="R93" s="11"/>
      <c r="S93" s="11"/>
      <c r="T93" s="11"/>
      <c r="U93" s="11"/>
      <c r="V93" s="11"/>
      <c r="W93" s="11"/>
      <c r="X93" s="11"/>
    </row>
    <row r="94" spans="2:24" collapsed="1">
      <c r="D94" s="27" t="s">
        <v>242</v>
      </c>
      <c r="L94" s="11">
        <f>Asmptn!$L$316</f>
        <v>30</v>
      </c>
      <c r="M94" s="11">
        <f>Asmptn!$L$316</f>
        <v>30</v>
      </c>
      <c r="N94" s="11">
        <f>Asmptn!$L$316</f>
        <v>30</v>
      </c>
      <c r="O94" s="11">
        <f>Asmptn!$L$316</f>
        <v>30</v>
      </c>
      <c r="P94" s="11">
        <f>Asmptn!$L$316</f>
        <v>30</v>
      </c>
      <c r="Q94" s="11">
        <f>Asmptn!$L$316</f>
        <v>30</v>
      </c>
      <c r="R94" s="11">
        <f>Asmptn!$L$316</f>
        <v>30</v>
      </c>
      <c r="S94" s="11">
        <f>Asmptn!$L$316</f>
        <v>30</v>
      </c>
      <c r="T94" s="11">
        <f>Asmptn!$L$316</f>
        <v>30</v>
      </c>
      <c r="U94" s="11">
        <f>Asmptn!$L$316</f>
        <v>30</v>
      </c>
      <c r="V94" s="11">
        <f>Asmptn!$L$316</f>
        <v>30</v>
      </c>
      <c r="W94" s="11">
        <f>Asmptn!$L$316</f>
        <v>30</v>
      </c>
      <c r="X94" s="11">
        <f>Asmptn!$L$316</f>
        <v>30</v>
      </c>
    </row>
    <row r="95" spans="2:24" hidden="1" outlineLevel="1"/>
    <row r="96" spans="2:24" collapsed="1">
      <c r="D96" s="25" t="s">
        <v>243</v>
      </c>
      <c r="L96" s="22">
        <f t="shared" ref="L96:X96" ca="1" si="16">L89+L92+L94</f>
        <v>214.42040154109588</v>
      </c>
      <c r="M96" s="22">
        <f t="shared" ca="1" si="16"/>
        <v>227.3233506421233</v>
      </c>
      <c r="N96" s="22">
        <f t="shared" ca="1" si="16"/>
        <v>235.01597808005141</v>
      </c>
      <c r="O96" s="22">
        <f t="shared" ca="1" si="16"/>
        <v>241.57499083273569</v>
      </c>
      <c r="P96" s="22">
        <f t="shared" ca="1" si="16"/>
        <v>266.07930904420959</v>
      </c>
      <c r="Q96" s="22" t="e">
        <f t="shared" ca="1" si="16"/>
        <v>#VALUE!</v>
      </c>
      <c r="R96" s="22" t="e">
        <f t="shared" ca="1" si="16"/>
        <v>#VALUE!</v>
      </c>
      <c r="S96" s="22" t="e">
        <f t="shared" ca="1" si="16"/>
        <v>#VALUE!</v>
      </c>
      <c r="T96" s="22" t="e">
        <f t="shared" ca="1" si="16"/>
        <v>#VALUE!</v>
      </c>
      <c r="U96" s="22" t="e">
        <f t="shared" ca="1" si="16"/>
        <v>#VALUE!</v>
      </c>
      <c r="V96" s="22" t="e">
        <f t="shared" ca="1" si="16"/>
        <v>#VALUE!</v>
      </c>
      <c r="W96" s="22" t="e">
        <f t="shared" ca="1" si="16"/>
        <v>#VALUE!</v>
      </c>
      <c r="X96" s="22" t="e">
        <f t="shared" ca="1" si="16"/>
        <v>#VALUE!</v>
      </c>
    </row>
    <row r="98" spans="3:24">
      <c r="C98" s="25" t="s">
        <v>244</v>
      </c>
    </row>
    <row r="100" spans="3:24" hidden="1" outlineLevel="1">
      <c r="D100" s="28" t="str">
        <f>Asmptn!D479</f>
        <v>Asset Class # 1</v>
      </c>
      <c r="L100" s="52">
        <f ca="1">Asmptn!L479</f>
        <v>67.5</v>
      </c>
      <c r="M100" s="52">
        <f ca="1">Asmptn!M479</f>
        <v>58.75</v>
      </c>
      <c r="N100" s="52">
        <f ca="1">Asmptn!N479</f>
        <v>50</v>
      </c>
      <c r="O100" s="52">
        <f ca="1">Asmptn!O479</f>
        <v>41.25</v>
      </c>
      <c r="P100" s="52">
        <f ca="1">Asmptn!P479</f>
        <v>61</v>
      </c>
      <c r="Q100" s="52">
        <f ca="1">Asmptn!Q479</f>
        <v>49.25</v>
      </c>
      <c r="R100" s="52">
        <f ca="1">Asmptn!R479</f>
        <v>37.5</v>
      </c>
      <c r="S100" s="52">
        <f ca="1">Asmptn!S479</f>
        <v>25.75</v>
      </c>
      <c r="T100" s="52">
        <f ca="1">Asmptn!T479</f>
        <v>53.5</v>
      </c>
      <c r="U100" s="52">
        <f ca="1">Asmptn!U479</f>
        <v>44.5</v>
      </c>
      <c r="V100" s="52">
        <f ca="1">Asmptn!V479</f>
        <v>36.75</v>
      </c>
      <c r="W100" s="52">
        <f ca="1">Asmptn!W479</f>
        <v>30.25</v>
      </c>
      <c r="X100" s="52">
        <f ca="1">Asmptn!X479</f>
        <v>23.75</v>
      </c>
    </row>
    <row r="101" spans="3:24" collapsed="1">
      <c r="D101" s="27" t="s">
        <v>245</v>
      </c>
      <c r="L101" s="11">
        <f t="shared" ref="L101:X101" ca="1" si="17">SUM(L100:L100)</f>
        <v>67.5</v>
      </c>
      <c r="M101" s="11">
        <f t="shared" ca="1" si="17"/>
        <v>58.75</v>
      </c>
      <c r="N101" s="11">
        <f t="shared" ca="1" si="17"/>
        <v>50</v>
      </c>
      <c r="O101" s="11">
        <f t="shared" ca="1" si="17"/>
        <v>41.25</v>
      </c>
      <c r="P101" s="11">
        <f t="shared" ca="1" si="17"/>
        <v>61</v>
      </c>
      <c r="Q101" s="11">
        <f t="shared" ca="1" si="17"/>
        <v>49.25</v>
      </c>
      <c r="R101" s="11">
        <f t="shared" ca="1" si="17"/>
        <v>37.5</v>
      </c>
      <c r="S101" s="11">
        <f t="shared" ca="1" si="17"/>
        <v>25.75</v>
      </c>
      <c r="T101" s="11">
        <f t="shared" ca="1" si="17"/>
        <v>53.5</v>
      </c>
      <c r="U101" s="11">
        <f t="shared" ca="1" si="17"/>
        <v>44.5</v>
      </c>
      <c r="V101" s="11">
        <f t="shared" ca="1" si="17"/>
        <v>36.75</v>
      </c>
      <c r="W101" s="11">
        <f t="shared" ca="1" si="17"/>
        <v>30.25</v>
      </c>
      <c r="X101" s="11">
        <f t="shared" ca="1" si="17"/>
        <v>23.75</v>
      </c>
    </row>
    <row r="102" spans="3:24" hidden="1" outlineLevel="1"/>
    <row r="103" spans="3:24" collapsed="1">
      <c r="D103" s="28" t="str">
        <f>Asmptn!D539</f>
        <v>Deferred Tax Assets</v>
      </c>
      <c r="L103" s="11">
        <f ca="1">Asmptn!L539</f>
        <v>0</v>
      </c>
      <c r="M103" s="11">
        <f ca="1">Asmptn!M539</f>
        <v>0</v>
      </c>
      <c r="N103" s="11">
        <f ca="1">Asmptn!N539</f>
        <v>0</v>
      </c>
      <c r="O103" s="11">
        <f ca="1">Asmptn!O539</f>
        <v>0</v>
      </c>
      <c r="P103" s="11">
        <f ca="1">Asmptn!P539</f>
        <v>0</v>
      </c>
      <c r="Q103" s="11">
        <f ca="1">Asmptn!Q539</f>
        <v>0</v>
      </c>
      <c r="R103" s="11">
        <f ca="1">Asmptn!R539</f>
        <v>0</v>
      </c>
      <c r="S103" s="11">
        <f ca="1">Asmptn!S539</f>
        <v>0</v>
      </c>
      <c r="T103" s="11">
        <f ca="1">Asmptn!T539</f>
        <v>0</v>
      </c>
      <c r="U103" s="11">
        <f ca="1">Asmptn!U539</f>
        <v>0</v>
      </c>
      <c r="V103" s="11">
        <f ca="1">Asmptn!V539</f>
        <v>0</v>
      </c>
      <c r="W103" s="11">
        <f ca="1">Asmptn!W539</f>
        <v>0</v>
      </c>
      <c r="X103" s="11">
        <f ca="1">Asmptn!X539</f>
        <v>0</v>
      </c>
    </row>
    <row r="104" spans="3:24" hidden="1" outlineLevel="1">
      <c r="D104" s="28"/>
      <c r="L104" s="11"/>
      <c r="M104" s="11"/>
      <c r="N104" s="11"/>
      <c r="O104" s="11"/>
      <c r="P104" s="11"/>
      <c r="Q104" s="11"/>
      <c r="R104" s="11"/>
      <c r="S104" s="11"/>
      <c r="T104" s="11"/>
      <c r="U104" s="11"/>
      <c r="V104" s="11"/>
      <c r="W104" s="11"/>
      <c r="X104" s="11"/>
    </row>
    <row r="105" spans="3:24" collapsed="1">
      <c r="D105" s="27" t="s">
        <v>246</v>
      </c>
      <c r="L105" s="11">
        <f>Asmptn!$L$321</f>
        <v>25</v>
      </c>
      <c r="M105" s="11">
        <f>Asmptn!$L$321</f>
        <v>25</v>
      </c>
      <c r="N105" s="11">
        <f>Asmptn!$L$321</f>
        <v>25</v>
      </c>
      <c r="O105" s="11">
        <f>Asmptn!$L$321</f>
        <v>25</v>
      </c>
      <c r="P105" s="11">
        <f>Asmptn!$L$321</f>
        <v>25</v>
      </c>
      <c r="Q105" s="11">
        <f>Asmptn!$L$321</f>
        <v>25</v>
      </c>
      <c r="R105" s="11">
        <f>Asmptn!$L$321</f>
        <v>25</v>
      </c>
      <c r="S105" s="11">
        <f>Asmptn!$L$321</f>
        <v>25</v>
      </c>
      <c r="T105" s="11">
        <f>Asmptn!$L$321</f>
        <v>25</v>
      </c>
      <c r="U105" s="11">
        <f>Asmptn!$L$321</f>
        <v>25</v>
      </c>
      <c r="V105" s="11">
        <f>Asmptn!$L$321</f>
        <v>25</v>
      </c>
      <c r="W105" s="11">
        <f>Asmptn!$L$321</f>
        <v>25</v>
      </c>
      <c r="X105" s="11">
        <f>Asmptn!$L$321</f>
        <v>25</v>
      </c>
    </row>
    <row r="106" spans="3:24" hidden="1" outlineLevel="1"/>
    <row r="107" spans="3:24" collapsed="1">
      <c r="D107" s="25" t="s">
        <v>247</v>
      </c>
      <c r="L107" s="22">
        <f ca="1">L101+L103+L105</f>
        <v>92.5</v>
      </c>
      <c r="M107" s="22">
        <f t="shared" ref="M107:X107" ca="1" si="18">M101+M103+M105</f>
        <v>83.75</v>
      </c>
      <c r="N107" s="22">
        <f t="shared" ca="1" si="18"/>
        <v>75</v>
      </c>
      <c r="O107" s="22">
        <f t="shared" ca="1" si="18"/>
        <v>66.25</v>
      </c>
      <c r="P107" s="22">
        <f t="shared" ca="1" si="18"/>
        <v>86</v>
      </c>
      <c r="Q107" s="22">
        <f t="shared" ca="1" si="18"/>
        <v>74.25</v>
      </c>
      <c r="R107" s="22">
        <f t="shared" ca="1" si="18"/>
        <v>62.5</v>
      </c>
      <c r="S107" s="22">
        <f t="shared" ca="1" si="18"/>
        <v>50.75</v>
      </c>
      <c r="T107" s="22">
        <f t="shared" ca="1" si="18"/>
        <v>78.5</v>
      </c>
      <c r="U107" s="22">
        <f t="shared" ca="1" si="18"/>
        <v>69.5</v>
      </c>
      <c r="V107" s="22">
        <f t="shared" ca="1" si="18"/>
        <v>61.75</v>
      </c>
      <c r="W107" s="22">
        <f t="shared" ca="1" si="18"/>
        <v>55.25</v>
      </c>
      <c r="X107" s="22">
        <f t="shared" ca="1" si="18"/>
        <v>48.75</v>
      </c>
    </row>
    <row r="109" spans="3:24">
      <c r="C109" s="25" t="s">
        <v>248</v>
      </c>
      <c r="L109" s="61">
        <f t="shared" ref="L109:X109" ca="1" si="19">L96+L107</f>
        <v>306.92040154109588</v>
      </c>
      <c r="M109" s="61">
        <f t="shared" ca="1" si="19"/>
        <v>311.07335064212327</v>
      </c>
      <c r="N109" s="61">
        <f t="shared" ca="1" si="19"/>
        <v>310.01597808005141</v>
      </c>
      <c r="O109" s="61">
        <f t="shared" ca="1" si="19"/>
        <v>307.82499083273569</v>
      </c>
      <c r="P109" s="61">
        <f t="shared" ca="1" si="19"/>
        <v>352.07930904420959</v>
      </c>
      <c r="Q109" s="61" t="e">
        <f t="shared" ca="1" si="19"/>
        <v>#VALUE!</v>
      </c>
      <c r="R109" s="61" t="e">
        <f t="shared" ca="1" si="19"/>
        <v>#VALUE!</v>
      </c>
      <c r="S109" s="61" t="e">
        <f t="shared" ca="1" si="19"/>
        <v>#VALUE!</v>
      </c>
      <c r="T109" s="61" t="e">
        <f t="shared" ca="1" si="19"/>
        <v>#VALUE!</v>
      </c>
      <c r="U109" s="61" t="e">
        <f t="shared" ca="1" si="19"/>
        <v>#VALUE!</v>
      </c>
      <c r="V109" s="61" t="e">
        <f t="shared" ca="1" si="19"/>
        <v>#VALUE!</v>
      </c>
      <c r="W109" s="61" t="e">
        <f t="shared" ca="1" si="19"/>
        <v>#VALUE!</v>
      </c>
      <c r="X109" s="61" t="e">
        <f t="shared" ca="1" si="19"/>
        <v>#VALUE!</v>
      </c>
    </row>
    <row r="111" spans="3:24">
      <c r="C111" s="25" t="s">
        <v>249</v>
      </c>
    </row>
    <row r="113" spans="3:24" hidden="1" outlineLevel="1">
      <c r="D113" s="28" t="str">
        <f>Asmptn!D460</f>
        <v>Cost of Sales</v>
      </c>
      <c r="L113" s="11">
        <f>Asmptn!L460</f>
        <v>10.109589041095887</v>
      </c>
      <c r="M113" s="11">
        <f>Asmptn!M460</f>
        <v>10.362328767123287</v>
      </c>
      <c r="N113" s="11">
        <f>Asmptn!N460</f>
        <v>10.62138698630136</v>
      </c>
      <c r="O113" s="11">
        <f>Asmptn!O460</f>
        <v>10.85717597336064</v>
      </c>
      <c r="P113" s="11">
        <f>Asmptn!P460</f>
        <v>11.159094702482875</v>
      </c>
      <c r="Q113" s="11">
        <f>Asmptn!Q460</f>
        <v>11.438072070044939</v>
      </c>
      <c r="R113" s="11">
        <f>Asmptn!R460</f>
        <v>11.724023871796064</v>
      </c>
      <c r="S113" s="11">
        <f>Asmptn!S460</f>
        <v>11.984290795179504</v>
      </c>
      <c r="T113" s="11">
        <f>Asmptn!T460</f>
        <v>12.317552580305744</v>
      </c>
      <c r="U113" s="11">
        <f>Asmptn!U460</f>
        <v>12.62549139481338</v>
      </c>
      <c r="V113" s="11">
        <f>Asmptn!V460</f>
        <v>12.941128679683715</v>
      </c>
      <c r="W113" s="11">
        <f>Asmptn!W460</f>
        <v>13.228414664717675</v>
      </c>
      <c r="X113" s="11">
        <f>Asmptn!X460</f>
        <v>13.596273319092703</v>
      </c>
    </row>
    <row r="114" spans="3:24" hidden="1" outlineLevel="1">
      <c r="D114" s="28" t="str">
        <f>Asmptn!D461</f>
        <v>Operating Expenditure</v>
      </c>
      <c r="L114" s="52">
        <f>Asmptn!L461</f>
        <v>10</v>
      </c>
      <c r="M114" s="52">
        <f>Asmptn!M461</f>
        <v>10</v>
      </c>
      <c r="N114" s="52">
        <f>Asmptn!N461</f>
        <v>10</v>
      </c>
      <c r="O114" s="52">
        <f>Asmptn!O461</f>
        <v>10</v>
      </c>
      <c r="P114" s="52">
        <f>Asmptn!P461</f>
        <v>10</v>
      </c>
      <c r="Q114" s="52">
        <f>Asmptn!Q461</f>
        <v>10</v>
      </c>
      <c r="R114" s="52">
        <f>Asmptn!R461</f>
        <v>10</v>
      </c>
      <c r="S114" s="52">
        <f>Asmptn!S461</f>
        <v>10</v>
      </c>
      <c r="T114" s="52">
        <f>Asmptn!T461</f>
        <v>10</v>
      </c>
      <c r="U114" s="52">
        <f>Asmptn!U461</f>
        <v>10</v>
      </c>
      <c r="V114" s="52">
        <f>Asmptn!V461</f>
        <v>10</v>
      </c>
      <c r="W114" s="52">
        <f>Asmptn!W461</f>
        <v>10</v>
      </c>
      <c r="X114" s="52">
        <f>Asmptn!X461</f>
        <v>10</v>
      </c>
    </row>
    <row r="115" spans="3:24" collapsed="1">
      <c r="D115" s="27" t="s">
        <v>250</v>
      </c>
      <c r="L115" s="11">
        <f t="shared" ref="L115:X115" si="20">SUM(L113:L114)</f>
        <v>20.109589041095887</v>
      </c>
      <c r="M115" s="11">
        <f t="shared" si="20"/>
        <v>20.362328767123287</v>
      </c>
      <c r="N115" s="11">
        <f t="shared" si="20"/>
        <v>20.62138698630136</v>
      </c>
      <c r="O115" s="11">
        <f t="shared" si="20"/>
        <v>20.85717597336064</v>
      </c>
      <c r="P115" s="11">
        <f t="shared" si="20"/>
        <v>21.159094702482875</v>
      </c>
      <c r="Q115" s="11">
        <f t="shared" si="20"/>
        <v>21.438072070044939</v>
      </c>
      <c r="R115" s="11">
        <f t="shared" si="20"/>
        <v>21.724023871796064</v>
      </c>
      <c r="S115" s="11">
        <f t="shared" si="20"/>
        <v>21.984290795179504</v>
      </c>
      <c r="T115" s="11">
        <f t="shared" si="20"/>
        <v>22.317552580305744</v>
      </c>
      <c r="U115" s="11">
        <f t="shared" si="20"/>
        <v>22.62549139481338</v>
      </c>
      <c r="V115" s="11">
        <f t="shared" si="20"/>
        <v>22.941128679683715</v>
      </c>
      <c r="W115" s="11">
        <f t="shared" si="20"/>
        <v>23.228414664717675</v>
      </c>
      <c r="X115" s="11">
        <f t="shared" si="20"/>
        <v>23.596273319092703</v>
      </c>
    </row>
    <row r="116" spans="3:24" hidden="1" outlineLevel="1"/>
    <row r="117" spans="3:24" hidden="1" outlineLevel="1">
      <c r="D117" s="28" t="str">
        <f>Asmptn!D517</f>
        <v>Debt Category 1</v>
      </c>
      <c r="L117" s="52">
        <f>Asmptn!L517</f>
        <v>1.9999999999999998</v>
      </c>
      <c r="M117" s="52">
        <f>Asmptn!M517</f>
        <v>2</v>
      </c>
      <c r="N117" s="52">
        <f>Asmptn!N517</f>
        <v>2</v>
      </c>
      <c r="O117" s="52">
        <f>Asmptn!O517</f>
        <v>2</v>
      </c>
      <c r="P117" s="52">
        <f>Asmptn!P517</f>
        <v>1.9999999999999996</v>
      </c>
      <c r="Q117" s="52">
        <f>Asmptn!Q517</f>
        <v>1.9999999999999996</v>
      </c>
      <c r="R117" s="52">
        <f>Asmptn!R517</f>
        <v>1.9999999999999996</v>
      </c>
      <c r="S117" s="52">
        <f>Asmptn!S517</f>
        <v>1.9999999999999996</v>
      </c>
      <c r="T117" s="52">
        <f>Asmptn!T517</f>
        <v>2</v>
      </c>
      <c r="U117" s="52">
        <f>Asmptn!U517</f>
        <v>2</v>
      </c>
      <c r="V117" s="52">
        <f>Asmptn!V517</f>
        <v>2</v>
      </c>
      <c r="W117" s="52">
        <f>Asmptn!W517</f>
        <v>2</v>
      </c>
      <c r="X117" s="52">
        <f>Asmptn!X517</f>
        <v>2</v>
      </c>
    </row>
    <row r="118" spans="3:24" collapsed="1">
      <c r="D118" s="27" t="s">
        <v>251</v>
      </c>
      <c r="L118" s="11">
        <f t="shared" ref="L118:X118" si="21">SUM(L117:L117)</f>
        <v>1.9999999999999998</v>
      </c>
      <c r="M118" s="11">
        <f t="shared" si="21"/>
        <v>2</v>
      </c>
      <c r="N118" s="11">
        <f t="shared" si="21"/>
        <v>2</v>
      </c>
      <c r="O118" s="11">
        <f t="shared" si="21"/>
        <v>2</v>
      </c>
      <c r="P118" s="11">
        <f t="shared" si="21"/>
        <v>1.9999999999999996</v>
      </c>
      <c r="Q118" s="11">
        <f t="shared" si="21"/>
        <v>1.9999999999999996</v>
      </c>
      <c r="R118" s="11">
        <f t="shared" si="21"/>
        <v>1.9999999999999996</v>
      </c>
      <c r="S118" s="11">
        <f t="shared" si="21"/>
        <v>1.9999999999999996</v>
      </c>
      <c r="T118" s="11">
        <f t="shared" si="21"/>
        <v>2</v>
      </c>
      <c r="U118" s="11">
        <f t="shared" si="21"/>
        <v>2</v>
      </c>
      <c r="V118" s="11">
        <f t="shared" si="21"/>
        <v>2</v>
      </c>
      <c r="W118" s="11">
        <f t="shared" si="21"/>
        <v>2</v>
      </c>
      <c r="X118" s="11">
        <f t="shared" si="21"/>
        <v>2</v>
      </c>
    </row>
    <row r="119" spans="3:24" hidden="1" outlineLevel="1"/>
    <row r="120" spans="3:24" collapsed="1">
      <c r="D120" s="28" t="str">
        <f>Asmptn!D538</f>
        <v>Closing Tax Payable</v>
      </c>
      <c r="L120" s="11">
        <f ca="1">Asmptn!L538</f>
        <v>9.9787500000000051</v>
      </c>
      <c r="M120" s="11">
        <f ca="1">Asmptn!M538</f>
        <v>11.148750000000007</v>
      </c>
      <c r="N120" s="11">
        <f ca="1">Asmptn!N538</f>
        <v>9.9739687500000045</v>
      </c>
      <c r="O120" s="11">
        <f ca="1">Asmptn!O538</f>
        <v>9.3021679687500107</v>
      </c>
      <c r="P120" s="11">
        <f ca="1">Asmptn!P538</f>
        <v>14.648813407968765</v>
      </c>
      <c r="Q120" s="11">
        <f ca="1">Asmptn!Q538</f>
        <v>16.635954512167988</v>
      </c>
      <c r="R120" s="11">
        <f ca="1">Asmptn!R538</f>
        <v>18.487365821312189</v>
      </c>
      <c r="S120" s="11">
        <f ca="1">Asmptn!S538</f>
        <v>26.6237011952175</v>
      </c>
      <c r="T120" s="11">
        <f ca="1">Asmptn!T538</f>
        <v>27.033912038951076</v>
      </c>
      <c r="U120" s="11">
        <f ca="1">Asmptn!U538</f>
        <v>28.381680818283147</v>
      </c>
      <c r="V120" s="11">
        <f ca="1">Asmptn!V538</f>
        <v>35.133121274361216</v>
      </c>
      <c r="W120" s="11">
        <f ca="1">Asmptn!W538</f>
        <v>42.884496878198362</v>
      </c>
      <c r="X120" s="11">
        <f ca="1">Asmptn!X538</f>
        <v>43.271209209371357</v>
      </c>
    </row>
    <row r="121" spans="3:24" hidden="1" outlineLevel="1"/>
    <row r="122" spans="3:24" collapsed="1">
      <c r="D122" s="28" t="str">
        <f>Asmptn!D532</f>
        <v>Closing Dividends Payable</v>
      </c>
      <c r="L122" s="11">
        <f ca="1">Asmptn!L532</f>
        <v>0</v>
      </c>
      <c r="M122" s="11">
        <f ca="1">Asmptn!M532</f>
        <v>0</v>
      </c>
      <c r="N122" s="11">
        <f ca="1">Asmptn!N532</f>
        <v>0</v>
      </c>
      <c r="O122" s="11">
        <f ca="1">Asmptn!O532</f>
        <v>0</v>
      </c>
      <c r="P122" s="11">
        <f ca="1">Asmptn!P532</f>
        <v>0</v>
      </c>
      <c r="Q122" s="11" t="e">
        <f ca="1">Asmptn!Q532</f>
        <v>#VALUE!</v>
      </c>
      <c r="R122" s="11" t="e">
        <f ca="1">Asmptn!R532</f>
        <v>#VALUE!</v>
      </c>
      <c r="S122" s="11" t="e">
        <f ca="1">Asmptn!S532</f>
        <v>#VALUE!</v>
      </c>
      <c r="T122" s="11" t="e">
        <f ca="1">Asmptn!T532</f>
        <v>#VALUE!</v>
      </c>
      <c r="U122" s="11" t="e">
        <f ca="1">Asmptn!U532</f>
        <v>#VALUE!</v>
      </c>
      <c r="V122" s="11" t="e">
        <f ca="1">Asmptn!V532</f>
        <v>#VALUE!</v>
      </c>
      <c r="W122" s="11" t="e">
        <f ca="1">Asmptn!W532</f>
        <v>#VALUE!</v>
      </c>
      <c r="X122" s="11" t="e">
        <f ca="1">Asmptn!X532</f>
        <v>#VALUE!</v>
      </c>
    </row>
    <row r="123" spans="3:24" hidden="1" outlineLevel="1">
      <c r="D123" s="28"/>
      <c r="L123" s="11"/>
      <c r="M123" s="11"/>
      <c r="N123" s="11"/>
      <c r="O123" s="11"/>
      <c r="P123" s="11"/>
      <c r="Q123" s="11"/>
      <c r="R123" s="11"/>
      <c r="S123" s="11"/>
      <c r="T123" s="11"/>
      <c r="U123" s="11"/>
      <c r="V123" s="11"/>
      <c r="W123" s="11"/>
      <c r="X123" s="11"/>
    </row>
    <row r="124" spans="3:24" collapsed="1">
      <c r="D124" s="27" t="s">
        <v>252</v>
      </c>
      <c r="L124" s="11">
        <f>Asmptn!$L$330</f>
        <v>3</v>
      </c>
      <c r="M124" s="11">
        <f>Asmptn!$L$330</f>
        <v>3</v>
      </c>
      <c r="N124" s="11">
        <f>Asmptn!$L$330</f>
        <v>3</v>
      </c>
      <c r="O124" s="11">
        <f>Asmptn!$L$330</f>
        <v>3</v>
      </c>
      <c r="P124" s="11">
        <f>Asmptn!$L$330</f>
        <v>3</v>
      </c>
      <c r="Q124" s="11">
        <f>Asmptn!$L$330</f>
        <v>3</v>
      </c>
      <c r="R124" s="11">
        <f>Asmptn!$L$330</f>
        <v>3</v>
      </c>
      <c r="S124" s="11">
        <f>Asmptn!$L$330</f>
        <v>3</v>
      </c>
      <c r="T124" s="11">
        <f>Asmptn!$L$330</f>
        <v>3</v>
      </c>
      <c r="U124" s="11">
        <f>Asmptn!$L$330</f>
        <v>3</v>
      </c>
      <c r="V124" s="11">
        <f>Asmptn!$L$330</f>
        <v>3</v>
      </c>
      <c r="W124" s="11">
        <f>Asmptn!$L$330</f>
        <v>3</v>
      </c>
      <c r="X124" s="11">
        <f>Asmptn!$L$330</f>
        <v>3</v>
      </c>
    </row>
    <row r="125" spans="3:24" hidden="1" outlineLevel="1"/>
    <row r="126" spans="3:24" collapsed="1">
      <c r="D126" s="25" t="s">
        <v>253</v>
      </c>
      <c r="L126" s="22">
        <f t="shared" ref="L126:X126" ca="1" si="22">L115+L118+L120+L122+L124</f>
        <v>35.088339041095892</v>
      </c>
      <c r="M126" s="22">
        <f t="shared" ca="1" si="22"/>
        <v>36.511078767123294</v>
      </c>
      <c r="N126" s="22">
        <f t="shared" ca="1" si="22"/>
        <v>35.595355736301364</v>
      </c>
      <c r="O126" s="22">
        <f t="shared" ca="1" si="22"/>
        <v>35.159343942110652</v>
      </c>
      <c r="P126" s="22">
        <f t="shared" ca="1" si="22"/>
        <v>40.807908110451642</v>
      </c>
      <c r="Q126" s="22" t="e">
        <f t="shared" ca="1" si="22"/>
        <v>#VALUE!</v>
      </c>
      <c r="R126" s="22" t="e">
        <f t="shared" ca="1" si="22"/>
        <v>#VALUE!</v>
      </c>
      <c r="S126" s="22" t="e">
        <f t="shared" ca="1" si="22"/>
        <v>#VALUE!</v>
      </c>
      <c r="T126" s="22" t="e">
        <f t="shared" ca="1" si="22"/>
        <v>#VALUE!</v>
      </c>
      <c r="U126" s="22" t="e">
        <f t="shared" ca="1" si="22"/>
        <v>#VALUE!</v>
      </c>
      <c r="V126" s="22" t="e">
        <f t="shared" ca="1" si="22"/>
        <v>#VALUE!</v>
      </c>
      <c r="W126" s="22" t="e">
        <f t="shared" ca="1" si="22"/>
        <v>#VALUE!</v>
      </c>
      <c r="X126" s="22" t="e">
        <f t="shared" ca="1" si="22"/>
        <v>#VALUE!</v>
      </c>
    </row>
    <row r="128" spans="3:24">
      <c r="C128" s="25" t="s">
        <v>254</v>
      </c>
    </row>
    <row r="130" spans="3:24" hidden="1" outlineLevel="1">
      <c r="D130" s="28" t="str">
        <f>Asmptn!D499</f>
        <v>Debt Category 1</v>
      </c>
      <c r="L130" s="52">
        <f>Asmptn!L499</f>
        <v>40</v>
      </c>
      <c r="M130" s="52">
        <f>Asmptn!M499</f>
        <v>40</v>
      </c>
      <c r="N130" s="52">
        <f>Asmptn!N499</f>
        <v>40</v>
      </c>
      <c r="O130" s="52">
        <f>Asmptn!O499</f>
        <v>40</v>
      </c>
      <c r="P130" s="52">
        <f>Asmptn!P499</f>
        <v>70</v>
      </c>
      <c r="Q130" s="52">
        <f>Asmptn!Q499</f>
        <v>70</v>
      </c>
      <c r="R130" s="52">
        <f>Asmptn!R499</f>
        <v>70</v>
      </c>
      <c r="S130" s="52">
        <f>Asmptn!S499</f>
        <v>70</v>
      </c>
      <c r="T130" s="52">
        <f>Asmptn!T499</f>
        <v>105</v>
      </c>
      <c r="U130" s="52">
        <f>Asmptn!U499</f>
        <v>105</v>
      </c>
      <c r="V130" s="52">
        <f>Asmptn!V499</f>
        <v>105</v>
      </c>
      <c r="W130" s="52">
        <f>Asmptn!W499</f>
        <v>105</v>
      </c>
      <c r="X130" s="52">
        <f>Asmptn!X499</f>
        <v>105</v>
      </c>
    </row>
    <row r="131" spans="3:24" collapsed="1">
      <c r="D131" s="27" t="s">
        <v>255</v>
      </c>
      <c r="L131" s="11">
        <f t="shared" ref="L131:X131" si="23">SUM(L130:L130)</f>
        <v>40</v>
      </c>
      <c r="M131" s="11">
        <f t="shared" si="23"/>
        <v>40</v>
      </c>
      <c r="N131" s="11">
        <f t="shared" si="23"/>
        <v>40</v>
      </c>
      <c r="O131" s="11">
        <f t="shared" si="23"/>
        <v>40</v>
      </c>
      <c r="P131" s="11">
        <f t="shared" si="23"/>
        <v>70</v>
      </c>
      <c r="Q131" s="11">
        <f t="shared" si="23"/>
        <v>70</v>
      </c>
      <c r="R131" s="11">
        <f t="shared" si="23"/>
        <v>70</v>
      </c>
      <c r="S131" s="11">
        <f t="shared" si="23"/>
        <v>70</v>
      </c>
      <c r="T131" s="11">
        <f t="shared" si="23"/>
        <v>105</v>
      </c>
      <c r="U131" s="11">
        <f t="shared" si="23"/>
        <v>105</v>
      </c>
      <c r="V131" s="11">
        <f t="shared" si="23"/>
        <v>105</v>
      </c>
      <c r="W131" s="11">
        <f t="shared" si="23"/>
        <v>105</v>
      </c>
      <c r="X131" s="11">
        <f t="shared" si="23"/>
        <v>105</v>
      </c>
    </row>
    <row r="132" spans="3:24" hidden="1" outlineLevel="1"/>
    <row r="133" spans="3:24" collapsed="1">
      <c r="D133" s="28" t="str">
        <f>Asmptn!D540</f>
        <v>Deferred Tax Liabilities</v>
      </c>
      <c r="L133" s="11">
        <f ca="1">Asmptn!L540</f>
        <v>32.75</v>
      </c>
      <c r="M133" s="11">
        <f ca="1">Asmptn!M540</f>
        <v>30.125</v>
      </c>
      <c r="N133" s="11">
        <f ca="1">Asmptn!N540</f>
        <v>27.5</v>
      </c>
      <c r="O133" s="11">
        <f ca="1">Asmptn!O540</f>
        <v>24.875</v>
      </c>
      <c r="P133" s="11">
        <f ca="1">Asmptn!P540</f>
        <v>21.8</v>
      </c>
      <c r="Q133" s="11">
        <f ca="1">Asmptn!Q540</f>
        <v>18.275000000000002</v>
      </c>
      <c r="R133" s="11">
        <f ca="1">Asmptn!R540</f>
        <v>14.750000000000002</v>
      </c>
      <c r="S133" s="11">
        <f ca="1">Asmptn!S540</f>
        <v>11.225000000000001</v>
      </c>
      <c r="T133" s="11">
        <f ca="1">Asmptn!T540</f>
        <v>9.0500000000000007</v>
      </c>
      <c r="U133" s="11">
        <f ca="1">Asmptn!U540</f>
        <v>6.3500000000000014</v>
      </c>
      <c r="V133" s="11">
        <f ca="1">Asmptn!V540</f>
        <v>4.0250000000000021</v>
      </c>
      <c r="W133" s="11">
        <f ca="1">Asmptn!W540</f>
        <v>2.075000000000002</v>
      </c>
      <c r="X133" s="11">
        <f ca="1">Asmptn!X540</f>
        <v>0.125000000000002</v>
      </c>
    </row>
    <row r="134" spans="3:24" hidden="1" outlineLevel="1">
      <c r="D134" s="28"/>
      <c r="L134" s="11"/>
      <c r="M134" s="11"/>
      <c r="N134" s="11"/>
      <c r="O134" s="11"/>
      <c r="P134" s="11"/>
      <c r="Q134" s="11"/>
      <c r="R134" s="11"/>
      <c r="S134" s="11"/>
      <c r="T134" s="11"/>
      <c r="U134" s="11"/>
      <c r="V134" s="11"/>
      <c r="W134" s="11"/>
      <c r="X134" s="11"/>
    </row>
    <row r="135" spans="3:24" collapsed="1">
      <c r="D135" s="27" t="s">
        <v>256</v>
      </c>
      <c r="L135" s="11">
        <f>Asmptn!$L$335</f>
        <v>0.8</v>
      </c>
      <c r="M135" s="11">
        <f>Asmptn!$L$335</f>
        <v>0.8</v>
      </c>
      <c r="N135" s="11">
        <f>Asmptn!$L$335</f>
        <v>0.8</v>
      </c>
      <c r="O135" s="11">
        <f>Asmptn!$L$335</f>
        <v>0.8</v>
      </c>
      <c r="P135" s="11">
        <f>Asmptn!$L$335</f>
        <v>0.8</v>
      </c>
      <c r="Q135" s="11">
        <f>Asmptn!$L$335</f>
        <v>0.8</v>
      </c>
      <c r="R135" s="11">
        <f>Asmptn!$L$335</f>
        <v>0.8</v>
      </c>
      <c r="S135" s="11">
        <f>Asmptn!$L$335</f>
        <v>0.8</v>
      </c>
      <c r="T135" s="11">
        <f>Asmptn!$L$335</f>
        <v>0.8</v>
      </c>
      <c r="U135" s="11">
        <f>Asmptn!$L$335</f>
        <v>0.8</v>
      </c>
      <c r="V135" s="11">
        <f>Asmptn!$L$335</f>
        <v>0.8</v>
      </c>
      <c r="W135" s="11">
        <f>Asmptn!$L$335</f>
        <v>0.8</v>
      </c>
      <c r="X135" s="11">
        <f>Asmptn!$L$335</f>
        <v>0.8</v>
      </c>
    </row>
    <row r="136" spans="3:24" hidden="1" outlineLevel="1"/>
    <row r="137" spans="3:24" collapsed="1">
      <c r="D137" s="25" t="s">
        <v>257</v>
      </c>
      <c r="L137" s="22">
        <f t="shared" ref="L137:X137" ca="1" si="24">L131+L133+L135</f>
        <v>73.55</v>
      </c>
      <c r="M137" s="22">
        <f t="shared" ca="1" si="24"/>
        <v>70.924999999999997</v>
      </c>
      <c r="N137" s="22">
        <f t="shared" ca="1" si="24"/>
        <v>68.3</v>
      </c>
      <c r="O137" s="22">
        <f t="shared" ca="1" si="24"/>
        <v>65.674999999999997</v>
      </c>
      <c r="P137" s="22">
        <f t="shared" ca="1" si="24"/>
        <v>92.6</v>
      </c>
      <c r="Q137" s="22">
        <f t="shared" ca="1" si="24"/>
        <v>89.075000000000003</v>
      </c>
      <c r="R137" s="22">
        <f t="shared" ca="1" si="24"/>
        <v>85.55</v>
      </c>
      <c r="S137" s="22">
        <f t="shared" ca="1" si="24"/>
        <v>82.024999999999991</v>
      </c>
      <c r="T137" s="22">
        <f t="shared" ca="1" si="24"/>
        <v>114.85</v>
      </c>
      <c r="U137" s="22">
        <f t="shared" ca="1" si="24"/>
        <v>112.14999999999999</v>
      </c>
      <c r="V137" s="22">
        <f t="shared" ca="1" si="24"/>
        <v>109.825</v>
      </c>
      <c r="W137" s="22">
        <f t="shared" ca="1" si="24"/>
        <v>107.875</v>
      </c>
      <c r="X137" s="22">
        <f t="shared" ca="1" si="24"/>
        <v>105.925</v>
      </c>
    </row>
    <row r="139" spans="3:24">
      <c r="C139" s="25" t="s">
        <v>258</v>
      </c>
      <c r="L139" s="61">
        <f t="shared" ref="L139:X139" ca="1" si="25">L126+L137</f>
        <v>108.63833904109589</v>
      </c>
      <c r="M139" s="61">
        <f t="shared" ca="1" si="25"/>
        <v>107.43607876712329</v>
      </c>
      <c r="N139" s="61">
        <f t="shared" ca="1" si="25"/>
        <v>103.89535573630135</v>
      </c>
      <c r="O139" s="61">
        <f t="shared" ca="1" si="25"/>
        <v>100.83434394211065</v>
      </c>
      <c r="P139" s="61">
        <f t="shared" ca="1" si="25"/>
        <v>133.40790811045164</v>
      </c>
      <c r="Q139" s="61" t="e">
        <f t="shared" ca="1" si="25"/>
        <v>#VALUE!</v>
      </c>
      <c r="R139" s="61" t="e">
        <f t="shared" ca="1" si="25"/>
        <v>#VALUE!</v>
      </c>
      <c r="S139" s="61" t="e">
        <f t="shared" ca="1" si="25"/>
        <v>#VALUE!</v>
      </c>
      <c r="T139" s="61" t="e">
        <f t="shared" ca="1" si="25"/>
        <v>#VALUE!</v>
      </c>
      <c r="U139" s="61" t="e">
        <f t="shared" ca="1" si="25"/>
        <v>#VALUE!</v>
      </c>
      <c r="V139" s="61" t="e">
        <f t="shared" ca="1" si="25"/>
        <v>#VALUE!</v>
      </c>
      <c r="W139" s="61" t="e">
        <f t="shared" ca="1" si="25"/>
        <v>#VALUE!</v>
      </c>
      <c r="X139" s="61" t="e">
        <f t="shared" ca="1" si="25"/>
        <v>#VALUE!</v>
      </c>
    </row>
    <row r="141" spans="3:24" ht="12" thickBot="1">
      <c r="C141" s="25" t="s">
        <v>259</v>
      </c>
      <c r="L141" s="58">
        <f t="shared" ref="L141:X141" ca="1" si="26">L109-L139</f>
        <v>198.28206249999999</v>
      </c>
      <c r="M141" s="58">
        <f t="shared" ca="1" si="26"/>
        <v>203.63727187499998</v>
      </c>
      <c r="N141" s="58">
        <f t="shared" ca="1" si="26"/>
        <v>206.12062234375006</v>
      </c>
      <c r="O141" s="58">
        <f t="shared" ca="1" si="26"/>
        <v>206.99064689062504</v>
      </c>
      <c r="P141" s="58">
        <f t="shared" ca="1" si="26"/>
        <v>218.67140093375795</v>
      </c>
      <c r="Q141" s="58" t="e">
        <f t="shared" ca="1" si="26"/>
        <v>#VALUE!</v>
      </c>
      <c r="R141" s="58" t="e">
        <f t="shared" ca="1" si="26"/>
        <v>#VALUE!</v>
      </c>
      <c r="S141" s="58" t="e">
        <f t="shared" ca="1" si="26"/>
        <v>#VALUE!</v>
      </c>
      <c r="T141" s="58" t="e">
        <f t="shared" ca="1" si="26"/>
        <v>#VALUE!</v>
      </c>
      <c r="U141" s="58" t="e">
        <f t="shared" ca="1" si="26"/>
        <v>#VALUE!</v>
      </c>
      <c r="V141" s="58" t="e">
        <f t="shared" ca="1" si="26"/>
        <v>#VALUE!</v>
      </c>
      <c r="W141" s="58" t="e">
        <f t="shared" ca="1" si="26"/>
        <v>#VALUE!</v>
      </c>
      <c r="X141" s="58" t="e">
        <f t="shared" ca="1" si="26"/>
        <v>#VALUE!</v>
      </c>
    </row>
    <row r="142" spans="3:24" ht="12" thickTop="1"/>
    <row r="143" spans="3:24">
      <c r="C143" s="25" t="s">
        <v>124</v>
      </c>
    </row>
    <row r="145" spans="3:24">
      <c r="D145" s="28" t="str">
        <f>Asmptn!D522</f>
        <v>Ordinary Equity</v>
      </c>
      <c r="L145" s="11">
        <f>Asmptn!L526</f>
        <v>40</v>
      </c>
      <c r="M145" s="11">
        <f>Asmptn!M526</f>
        <v>40</v>
      </c>
      <c r="N145" s="11">
        <f>Asmptn!N526</f>
        <v>40</v>
      </c>
      <c r="O145" s="11">
        <f>Asmptn!O526</f>
        <v>40</v>
      </c>
      <c r="P145" s="11">
        <f>Asmptn!P526</f>
        <v>40</v>
      </c>
      <c r="Q145" s="11">
        <f>Asmptn!Q526</f>
        <v>40</v>
      </c>
      <c r="R145" s="11">
        <f>Asmptn!R526</f>
        <v>40</v>
      </c>
      <c r="S145" s="11">
        <f>Asmptn!S526</f>
        <v>40</v>
      </c>
      <c r="T145" s="11">
        <f>Asmptn!T526</f>
        <v>40</v>
      </c>
      <c r="U145" s="11">
        <f>Asmptn!U526</f>
        <v>40</v>
      </c>
      <c r="V145" s="11">
        <f>Asmptn!V526</f>
        <v>40</v>
      </c>
      <c r="W145" s="11">
        <f>Asmptn!W526</f>
        <v>40</v>
      </c>
      <c r="X145" s="11">
        <f>Asmptn!X526</f>
        <v>40</v>
      </c>
    </row>
    <row r="146" spans="3:24" hidden="1" outlineLevel="1">
      <c r="D146" s="28"/>
      <c r="L146" s="11"/>
      <c r="M146" s="11"/>
      <c r="N146" s="11"/>
      <c r="O146" s="11"/>
      <c r="P146" s="11"/>
      <c r="Q146" s="11"/>
      <c r="R146" s="11"/>
      <c r="S146" s="11"/>
      <c r="T146" s="11"/>
      <c r="U146" s="11"/>
      <c r="V146" s="11"/>
      <c r="W146" s="11"/>
      <c r="X146" s="11"/>
    </row>
    <row r="147" spans="3:24" hidden="1" outlineLevel="1">
      <c r="D147" s="28" t="str">
        <f>Asmptn!D343</f>
        <v>Opening Retained Profits</v>
      </c>
      <c r="L147" s="11">
        <f>IF(L$20=1,Asmptn!$L$343,K150)</f>
        <v>150.19999999999999</v>
      </c>
      <c r="M147" s="11">
        <f ca="1">IF(M$20=1,Asmptn!$L$343,L150)</f>
        <v>156.78206249999999</v>
      </c>
      <c r="N147" s="11">
        <f ca="1">IF(N$20=1,Asmptn!$L$343,M150)</f>
        <v>162.13727187500001</v>
      </c>
      <c r="O147" s="11">
        <f ca="1">IF(O$20=1,Asmptn!$L$343,N150)</f>
        <v>164.62062234375003</v>
      </c>
      <c r="P147" s="11">
        <f ca="1">IF(P$20=1,Asmptn!$L$343,O150)</f>
        <v>165.49064689062507</v>
      </c>
      <c r="Q147" s="11">
        <f ca="1">IF(Q$20=1,Asmptn!$L$343,P150)</f>
        <v>177.17140093375792</v>
      </c>
      <c r="R147" s="11" t="e">
        <f ca="1">IF(R$20=1,Asmptn!$L$343,Q150)</f>
        <v>#VALUE!</v>
      </c>
      <c r="S147" s="11" t="e">
        <f ca="1">IF(S$20=1,Asmptn!$L$343,R150)</f>
        <v>#VALUE!</v>
      </c>
      <c r="T147" s="11" t="e">
        <f ca="1">IF(T$20=1,Asmptn!$L$343,S150)</f>
        <v>#VALUE!</v>
      </c>
      <c r="U147" s="11" t="e">
        <f ca="1">IF(U$20=1,Asmptn!$L$343,T150)</f>
        <v>#VALUE!</v>
      </c>
      <c r="V147" s="11" t="e">
        <f ca="1">IF(V$20=1,Asmptn!$L$343,U150)</f>
        <v>#VALUE!</v>
      </c>
      <c r="W147" s="11" t="e">
        <f ca="1">IF(W$20=1,Asmptn!$L$343,V150)</f>
        <v>#VALUE!</v>
      </c>
      <c r="X147" s="11" t="e">
        <f ca="1">IF(X$20=1,Asmptn!$L$343,W150)</f>
        <v>#VALUE!</v>
      </c>
    </row>
    <row r="148" spans="3:24" hidden="1" outlineLevel="1">
      <c r="D148" s="27" t="s">
        <v>260</v>
      </c>
      <c r="L148" s="11">
        <f t="shared" ref="L148:X148" ca="1" si="27">L81</f>
        <v>14.833750000000009</v>
      </c>
      <c r="M148" s="11">
        <f t="shared" ca="1" si="27"/>
        <v>13.888750000000014</v>
      </c>
      <c r="N148" s="11">
        <f t="shared" ca="1" si="27"/>
        <v>11.147593750000015</v>
      </c>
      <c r="O148" s="11">
        <f t="shared" ca="1" si="27"/>
        <v>9.5800585937500333</v>
      </c>
      <c r="P148" s="11">
        <f t="shared" ca="1" si="27"/>
        <v>21.005564618593802</v>
      </c>
      <c r="Q148" s="11">
        <f t="shared" ca="1" si="27"/>
        <v>24.592227195058648</v>
      </c>
      <c r="R148" s="11">
        <f t="shared" ca="1" si="27"/>
        <v>28.912186916395108</v>
      </c>
      <c r="S148" s="11">
        <f t="shared" ca="1" si="27"/>
        <v>47.896969455507516</v>
      </c>
      <c r="T148" s="11">
        <f t="shared" ca="1" si="27"/>
        <v>52.004128090885843</v>
      </c>
      <c r="U148" s="11">
        <f t="shared" ca="1" si="27"/>
        <v>53.923921909327348</v>
      </c>
      <c r="V148" s="11">
        <f t="shared" ca="1" si="27"/>
        <v>70.552282973509506</v>
      </c>
      <c r="W148" s="11">
        <f t="shared" ca="1" si="27"/>
        <v>89.513826049129534</v>
      </c>
      <c r="X148" s="11">
        <f t="shared" ca="1" si="27"/>
        <v>90.416154821866513</v>
      </c>
    </row>
    <row r="149" spans="3:24" hidden="1" outlineLevel="1">
      <c r="D149" s="28" t="str">
        <f>Asmptn!D530</f>
        <v>Dividends Declared</v>
      </c>
      <c r="L149" s="52">
        <f ca="1">-Asmptn!L530</f>
        <v>-8.251687500000001</v>
      </c>
      <c r="M149" s="52">
        <f ca="1">-Asmptn!M530</f>
        <v>-8.5335406250000005</v>
      </c>
      <c r="N149" s="52">
        <f ca="1">-Asmptn!N530</f>
        <v>-8.6642432812500019</v>
      </c>
      <c r="O149" s="52">
        <f ca="1">-Asmptn!O530</f>
        <v>-8.7100340468750037</v>
      </c>
      <c r="P149" s="52">
        <f ca="1">-Asmptn!P530</f>
        <v>-9.3248105754609441</v>
      </c>
      <c r="Q149" s="52" t="e">
        <f ca="1">-Asmptn!Q530</f>
        <v>#VALUE!</v>
      </c>
      <c r="R149" s="52" t="e">
        <f ca="1">-Asmptn!R530</f>
        <v>#VALUE!</v>
      </c>
      <c r="S149" s="52" t="e">
        <f ca="1">-Asmptn!S530</f>
        <v>#VALUE!</v>
      </c>
      <c r="T149" s="52" t="e">
        <f ca="1">-Asmptn!T530</f>
        <v>#VALUE!</v>
      </c>
      <c r="U149" s="52" t="e">
        <f ca="1">-Asmptn!U530</f>
        <v>#VALUE!</v>
      </c>
      <c r="V149" s="52" t="e">
        <f ca="1">-Asmptn!V530</f>
        <v>#VALUE!</v>
      </c>
      <c r="W149" s="52" t="e">
        <f ca="1">-Asmptn!W530</f>
        <v>#VALUE!</v>
      </c>
      <c r="X149" s="52" t="e">
        <f ca="1">-Asmptn!X530</f>
        <v>#VALUE!</v>
      </c>
    </row>
    <row r="150" spans="3:24" collapsed="1">
      <c r="D150" s="27" t="s">
        <v>261</v>
      </c>
      <c r="L150" s="11">
        <f t="shared" ref="L150:X150" ca="1" si="28">SUM(L147:L149)</f>
        <v>156.78206249999999</v>
      </c>
      <c r="M150" s="11">
        <f t="shared" ca="1" si="28"/>
        <v>162.13727187500001</v>
      </c>
      <c r="N150" s="11">
        <f t="shared" ca="1" si="28"/>
        <v>164.62062234375003</v>
      </c>
      <c r="O150" s="11">
        <f t="shared" ca="1" si="28"/>
        <v>165.49064689062507</v>
      </c>
      <c r="P150" s="11">
        <f t="shared" ca="1" si="28"/>
        <v>177.17140093375792</v>
      </c>
      <c r="Q150" s="11" t="e">
        <f t="shared" ca="1" si="28"/>
        <v>#VALUE!</v>
      </c>
      <c r="R150" s="11" t="e">
        <f t="shared" ca="1" si="28"/>
        <v>#VALUE!</v>
      </c>
      <c r="S150" s="11" t="e">
        <f t="shared" ca="1" si="28"/>
        <v>#VALUE!</v>
      </c>
      <c r="T150" s="11" t="e">
        <f t="shared" ca="1" si="28"/>
        <v>#VALUE!</v>
      </c>
      <c r="U150" s="11" t="e">
        <f t="shared" ca="1" si="28"/>
        <v>#VALUE!</v>
      </c>
      <c r="V150" s="11" t="e">
        <f t="shared" ca="1" si="28"/>
        <v>#VALUE!</v>
      </c>
      <c r="W150" s="11" t="e">
        <f t="shared" ca="1" si="28"/>
        <v>#VALUE!</v>
      </c>
      <c r="X150" s="11" t="e">
        <f t="shared" ca="1" si="28"/>
        <v>#VALUE!</v>
      </c>
    </row>
    <row r="151" spans="3:24" hidden="1" outlineLevel="1">
      <c r="D151" s="27"/>
      <c r="L151" s="11"/>
      <c r="M151" s="11"/>
      <c r="N151" s="11"/>
      <c r="O151" s="11"/>
      <c r="P151" s="11"/>
      <c r="Q151" s="11"/>
      <c r="R151" s="11"/>
      <c r="S151" s="11"/>
      <c r="T151" s="11"/>
      <c r="U151" s="11"/>
      <c r="V151" s="11"/>
      <c r="W151" s="11"/>
      <c r="X151" s="11"/>
    </row>
    <row r="152" spans="3:24" collapsed="1">
      <c r="D152" s="27" t="s">
        <v>262</v>
      </c>
      <c r="L152" s="11">
        <f>Asmptn!$L$344</f>
        <v>1.5</v>
      </c>
      <c r="M152" s="11">
        <f>Asmptn!$L$344</f>
        <v>1.5</v>
      </c>
      <c r="N152" s="11">
        <f>Asmptn!$L$344</f>
        <v>1.5</v>
      </c>
      <c r="O152" s="11">
        <f>Asmptn!$L$344</f>
        <v>1.5</v>
      </c>
      <c r="P152" s="11">
        <f>Asmptn!$L$344</f>
        <v>1.5</v>
      </c>
      <c r="Q152" s="11">
        <f>Asmptn!$L$344</f>
        <v>1.5</v>
      </c>
      <c r="R152" s="11">
        <f>Asmptn!$L$344</f>
        <v>1.5</v>
      </c>
      <c r="S152" s="11">
        <f>Asmptn!$L$344</f>
        <v>1.5</v>
      </c>
      <c r="T152" s="11">
        <f>Asmptn!$L$344</f>
        <v>1.5</v>
      </c>
      <c r="U152" s="11">
        <f>Asmptn!$L$344</f>
        <v>1.5</v>
      </c>
      <c r="V152" s="11">
        <f>Asmptn!$L$344</f>
        <v>1.5</v>
      </c>
      <c r="W152" s="11">
        <f>Asmptn!$L$344</f>
        <v>1.5</v>
      </c>
      <c r="X152" s="11">
        <f>Asmptn!$L$344</f>
        <v>1.5</v>
      </c>
    </row>
    <row r="154" spans="3:24">
      <c r="C154" s="25" t="s">
        <v>263</v>
      </c>
      <c r="L154" s="61">
        <f t="shared" ref="L154:X154" ca="1" si="29">L145+L150+L152</f>
        <v>198.28206249999999</v>
      </c>
      <c r="M154" s="61">
        <f t="shared" ca="1" si="29"/>
        <v>203.63727187500001</v>
      </c>
      <c r="N154" s="61">
        <f t="shared" ca="1" si="29"/>
        <v>206.12062234375003</v>
      </c>
      <c r="O154" s="61">
        <f t="shared" ca="1" si="29"/>
        <v>206.99064689062507</v>
      </c>
      <c r="P154" s="61">
        <f t="shared" ca="1" si="29"/>
        <v>218.67140093375792</v>
      </c>
      <c r="Q154" s="61" t="e">
        <f t="shared" ca="1" si="29"/>
        <v>#VALUE!</v>
      </c>
      <c r="R154" s="61" t="e">
        <f t="shared" ca="1" si="29"/>
        <v>#VALUE!</v>
      </c>
      <c r="S154" s="61" t="e">
        <f t="shared" ca="1" si="29"/>
        <v>#VALUE!</v>
      </c>
      <c r="T154" s="61" t="e">
        <f t="shared" ca="1" si="29"/>
        <v>#VALUE!</v>
      </c>
      <c r="U154" s="61" t="e">
        <f t="shared" ca="1" si="29"/>
        <v>#VALUE!</v>
      </c>
      <c r="V154" s="61" t="e">
        <f t="shared" ca="1" si="29"/>
        <v>#VALUE!</v>
      </c>
      <c r="W154" s="61" t="e">
        <f t="shared" ca="1" si="29"/>
        <v>#VALUE!</v>
      </c>
      <c r="X154" s="61" t="e">
        <f t="shared" ca="1" si="29"/>
        <v>#VALUE!</v>
      </c>
    </row>
    <row r="156" spans="3:24">
      <c r="C156" s="25" t="s">
        <v>264</v>
      </c>
      <c r="K156" s="25" t="s">
        <v>265</v>
      </c>
    </row>
    <row r="157" spans="3:24">
      <c r="C157" s="25"/>
      <c r="D157" s="27" t="s">
        <v>266</v>
      </c>
      <c r="K157" s="66">
        <f ca="1">COUNTIF(L157:X157,Error)</f>
        <v>8</v>
      </c>
      <c r="L157" s="63" t="str">
        <f t="shared" ref="L157:X157" ca="1" si="30">IF(ISERROR(ROUND(L141-L154,3)),Error,Ok)</f>
        <v>Ok</v>
      </c>
      <c r="M157" s="63" t="str">
        <f t="shared" ca="1" si="30"/>
        <v>Ok</v>
      </c>
      <c r="N157" s="63" t="str">
        <f t="shared" ca="1" si="30"/>
        <v>Ok</v>
      </c>
      <c r="O157" s="63" t="str">
        <f t="shared" ca="1" si="30"/>
        <v>Ok</v>
      </c>
      <c r="P157" s="63" t="str">
        <f t="shared" ca="1" si="30"/>
        <v>Ok</v>
      </c>
      <c r="Q157" s="63" t="str">
        <f t="shared" ca="1" si="30"/>
        <v>Error</v>
      </c>
      <c r="R157" s="63" t="str">
        <f t="shared" ca="1" si="30"/>
        <v>Error</v>
      </c>
      <c r="S157" s="63" t="str">
        <f t="shared" ca="1" si="30"/>
        <v>Error</v>
      </c>
      <c r="T157" s="63" t="str">
        <f t="shared" ca="1" si="30"/>
        <v>Error</v>
      </c>
      <c r="U157" s="63" t="str">
        <f t="shared" ca="1" si="30"/>
        <v>Error</v>
      </c>
      <c r="V157" s="63" t="str">
        <f t="shared" ca="1" si="30"/>
        <v>Error</v>
      </c>
      <c r="W157" s="63" t="str">
        <f t="shared" ca="1" si="30"/>
        <v>Error</v>
      </c>
      <c r="X157" s="63" t="str">
        <f t="shared" ca="1" si="30"/>
        <v>Error</v>
      </c>
    </row>
    <row r="158" spans="3:24">
      <c r="D158" s="27" t="s">
        <v>267</v>
      </c>
      <c r="K158" s="65">
        <f ca="1">COUNTIF(L158:X158,Error)</f>
        <v>0</v>
      </c>
      <c r="L158" s="62" t="str">
        <f t="shared" ref="L158:X158" ca="1" si="31">IF(ROUND(L141-L154,3)&lt;&gt;0,Error,Ok)</f>
        <v>Ok</v>
      </c>
      <c r="M158" s="62" t="str">
        <f t="shared" ca="1" si="31"/>
        <v>Ok</v>
      </c>
      <c r="N158" s="62" t="str">
        <f t="shared" ca="1" si="31"/>
        <v>Ok</v>
      </c>
      <c r="O158" s="62" t="str">
        <f t="shared" ca="1" si="31"/>
        <v>Ok</v>
      </c>
      <c r="P158" s="62" t="str">
        <f t="shared" ca="1" si="31"/>
        <v>Ok</v>
      </c>
      <c r="Q158" s="62" t="e">
        <f t="shared" ca="1" si="31"/>
        <v>#VALUE!</v>
      </c>
      <c r="R158" s="62" t="e">
        <f t="shared" ca="1" si="31"/>
        <v>#VALUE!</v>
      </c>
      <c r="S158" s="62" t="e">
        <f t="shared" ca="1" si="31"/>
        <v>#VALUE!</v>
      </c>
      <c r="T158" s="62" t="e">
        <f t="shared" ca="1" si="31"/>
        <v>#VALUE!</v>
      </c>
      <c r="U158" s="62" t="e">
        <f t="shared" ca="1" si="31"/>
        <v>#VALUE!</v>
      </c>
      <c r="V158" s="62" t="e">
        <f t="shared" ca="1" si="31"/>
        <v>#VALUE!</v>
      </c>
      <c r="W158" s="62" t="e">
        <f t="shared" ca="1" si="31"/>
        <v>#VALUE!</v>
      </c>
      <c r="X158" s="62" t="e">
        <f t="shared" ca="1" si="31"/>
        <v>#VALUE!</v>
      </c>
    </row>
    <row r="159" spans="3:24">
      <c r="K159" s="64">
        <f ca="1">SUM(K157:K158)</f>
        <v>8</v>
      </c>
    </row>
    <row r="161" spans="2:24" s="7" customFormat="1" ht="12.75">
      <c r="B161" s="7" t="s">
        <v>268</v>
      </c>
    </row>
    <row r="162" spans="2:24" ht="4.5" customHeight="1"/>
    <row r="163" spans="2:24" s="29" customFormat="1" ht="12">
      <c r="C163" s="29" t="s">
        <v>269</v>
      </c>
    </row>
    <row r="165" spans="2:24">
      <c r="C165" s="25" t="s">
        <v>270</v>
      </c>
    </row>
    <row r="167" spans="2:24" hidden="1" outlineLevel="1">
      <c r="D167" s="26" t="str">
        <f>Asmptn!C380</f>
        <v>Revenues</v>
      </c>
    </row>
    <row r="168" spans="2:24" hidden="1" outlineLevel="1"/>
    <row r="169" spans="2:24" hidden="1" outlineLevel="1">
      <c r="D169" s="28" t="str">
        <f>Asmptn!D382</f>
        <v>Revenue Category 1</v>
      </c>
      <c r="L169" s="11">
        <f>Asmptn!L382</f>
        <v>20</v>
      </c>
      <c r="M169" s="11">
        <f>Asmptn!M382</f>
        <v>21.200000000000003</v>
      </c>
      <c r="N169" s="11">
        <f>Asmptn!N382</f>
        <v>22.472000000000005</v>
      </c>
      <c r="O169" s="11">
        <f>Asmptn!O382</f>
        <v>23.820320000000006</v>
      </c>
      <c r="P169" s="11">
        <f>Asmptn!P382</f>
        <v>25.249539200000008</v>
      </c>
      <c r="Q169" s="11">
        <f>Asmptn!Q382</f>
        <v>26.764511552000009</v>
      </c>
      <c r="R169" s="11">
        <f>Asmptn!R382</f>
        <v>28.370382245120012</v>
      </c>
      <c r="S169" s="11">
        <f>Asmptn!S382</f>
        <v>30.072605179827214</v>
      </c>
      <c r="T169" s="11">
        <f>Asmptn!T382</f>
        <v>31.87696149061685</v>
      </c>
      <c r="U169" s="11">
        <f>Asmptn!U382</f>
        <v>33.789579180053863</v>
      </c>
      <c r="V169" s="11">
        <f>Asmptn!V382</f>
        <v>35.816953930857096</v>
      </c>
      <c r="W169" s="11">
        <f>Asmptn!W382</f>
        <v>37.96597116670852</v>
      </c>
      <c r="X169" s="11">
        <f>Asmptn!X382</f>
        <v>40.243929436711035</v>
      </c>
    </row>
    <row r="170" spans="2:24" hidden="1" outlineLevel="1">
      <c r="D170" s="28" t="str">
        <f>Asmptn!D383</f>
        <v>Revenue Category 2</v>
      </c>
      <c r="L170" s="11">
        <f>Asmptn!L383</f>
        <v>20</v>
      </c>
      <c r="M170" s="11">
        <f>Asmptn!M383</f>
        <v>21.400000000000002</v>
      </c>
      <c r="N170" s="11">
        <f>Asmptn!N383</f>
        <v>22.898000000000003</v>
      </c>
      <c r="O170" s="11">
        <f>Asmptn!O383</f>
        <v>24.500860000000007</v>
      </c>
      <c r="P170" s="11">
        <f>Asmptn!P383</f>
        <v>26.21592020000001</v>
      </c>
      <c r="Q170" s="11">
        <f>Asmptn!Q383</f>
        <v>28.051034614000013</v>
      </c>
      <c r="R170" s="11">
        <f>Asmptn!R383</f>
        <v>30.014607036980017</v>
      </c>
      <c r="S170" s="11">
        <f>Asmptn!S383</f>
        <v>32.115629529568622</v>
      </c>
      <c r="T170" s="11">
        <f>Asmptn!T383</f>
        <v>34.36372359663843</v>
      </c>
      <c r="U170" s="11">
        <f>Asmptn!U383</f>
        <v>36.769184248403121</v>
      </c>
      <c r="V170" s="11">
        <f>Asmptn!V383</f>
        <v>39.343027145791339</v>
      </c>
      <c r="W170" s="11">
        <f>Asmptn!W383</f>
        <v>42.097039045996738</v>
      </c>
      <c r="X170" s="11">
        <f>Asmptn!X383</f>
        <v>45.043831779216511</v>
      </c>
    </row>
    <row r="171" spans="2:24" hidden="1" outlineLevel="1">
      <c r="D171" s="28" t="str">
        <f>Asmptn!D384</f>
        <v>Revenue Category 3</v>
      </c>
      <c r="L171" s="11">
        <f>Asmptn!L384</f>
        <v>20</v>
      </c>
      <c r="M171" s="11">
        <f>Asmptn!M384</f>
        <v>21.6</v>
      </c>
      <c r="N171" s="11">
        <f>Asmptn!N384</f>
        <v>23.328000000000003</v>
      </c>
      <c r="O171" s="11">
        <f>Asmptn!O384</f>
        <v>25.194240000000004</v>
      </c>
      <c r="P171" s="11">
        <f>Asmptn!P384</f>
        <v>27.209779200000007</v>
      </c>
      <c r="Q171" s="11">
        <f>Asmptn!Q384</f>
        <v>29.386561536000009</v>
      </c>
      <c r="R171" s="11">
        <f>Asmptn!R384</f>
        <v>31.737486458880014</v>
      </c>
      <c r="S171" s="11">
        <f>Asmptn!S384</f>
        <v>34.276485375590418</v>
      </c>
      <c r="T171" s="11">
        <f>Asmptn!T384</f>
        <v>37.018604205637658</v>
      </c>
      <c r="U171" s="11">
        <f>Asmptn!U384</f>
        <v>39.98009254208867</v>
      </c>
      <c r="V171" s="11">
        <f>Asmptn!V384</f>
        <v>43.178499945455769</v>
      </c>
      <c r="W171" s="11">
        <f>Asmptn!W384</f>
        <v>46.632779941092231</v>
      </c>
      <c r="X171" s="11">
        <f>Asmptn!X384</f>
        <v>50.363402336379615</v>
      </c>
    </row>
    <row r="172" spans="2:24" hidden="1" outlineLevel="1">
      <c r="D172" s="28" t="str">
        <f>Asmptn!D385</f>
        <v>Revenue Category 4</v>
      </c>
      <c r="L172" s="11">
        <f>Asmptn!L385</f>
        <v>20</v>
      </c>
      <c r="M172" s="11">
        <f>Asmptn!M385</f>
        <v>21.8</v>
      </c>
      <c r="N172" s="11">
        <f>Asmptn!N385</f>
        <v>23.762000000000004</v>
      </c>
      <c r="O172" s="11">
        <f>Asmptn!O385</f>
        <v>25.900580000000005</v>
      </c>
      <c r="P172" s="11">
        <f>Asmptn!P385</f>
        <v>28.231632200000007</v>
      </c>
      <c r="Q172" s="11">
        <f>Asmptn!Q385</f>
        <v>30.772479098000009</v>
      </c>
      <c r="R172" s="11">
        <f>Asmptn!R385</f>
        <v>33.542002216820009</v>
      </c>
      <c r="S172" s="11">
        <f>Asmptn!S385</f>
        <v>36.560782416333815</v>
      </c>
      <c r="T172" s="11">
        <f>Asmptn!T385</f>
        <v>39.851252833803862</v>
      </c>
      <c r="U172" s="11">
        <f>Asmptn!U385</f>
        <v>43.437865588846215</v>
      </c>
      <c r="V172" s="11">
        <f>Asmptn!V385</f>
        <v>47.34727349184238</v>
      </c>
      <c r="W172" s="11">
        <f>Asmptn!W385</f>
        <v>51.608528106108196</v>
      </c>
      <c r="X172" s="11">
        <f>Asmptn!X385</f>
        <v>56.253295635657935</v>
      </c>
    </row>
    <row r="173" spans="2:24" hidden="1" outlineLevel="1">
      <c r="D173" s="28" t="str">
        <f>Asmptn!D386</f>
        <v>Revenue Category 5</v>
      </c>
      <c r="L173" s="11">
        <f>Asmptn!L386</f>
        <v>20</v>
      </c>
      <c r="M173" s="11">
        <f>Asmptn!M386</f>
        <v>22</v>
      </c>
      <c r="N173" s="11">
        <f>Asmptn!N386</f>
        <v>24.200000000000003</v>
      </c>
      <c r="O173" s="11">
        <f>Asmptn!O386</f>
        <v>26.620000000000005</v>
      </c>
      <c r="P173" s="11">
        <f>Asmptn!P386</f>
        <v>29.282000000000007</v>
      </c>
      <c r="Q173" s="11">
        <f>Asmptn!Q386</f>
        <v>32.210200000000007</v>
      </c>
      <c r="R173" s="11">
        <f>Asmptn!R386</f>
        <v>35.43122000000001</v>
      </c>
      <c r="S173" s="11">
        <f>Asmptn!S386</f>
        <v>38.974342000000014</v>
      </c>
      <c r="T173" s="11">
        <f>Asmptn!T386</f>
        <v>42.871776200000021</v>
      </c>
      <c r="U173" s="11">
        <f>Asmptn!U386</f>
        <v>47.158953820000029</v>
      </c>
      <c r="V173" s="11">
        <f>Asmptn!V386</f>
        <v>51.874849202000036</v>
      </c>
      <c r="W173" s="11">
        <f>Asmptn!W386</f>
        <v>57.062334122200042</v>
      </c>
      <c r="X173" s="11">
        <f>Asmptn!X386</f>
        <v>62.76856753442005</v>
      </c>
    </row>
    <row r="174" spans="2:24" hidden="1" outlineLevel="1">
      <c r="D174" s="28" t="str">
        <f>Asmptn!D387</f>
        <v>Sub Total</v>
      </c>
      <c r="L174" s="18">
        <f t="shared" ref="L174:X174" si="32">SUM(L169:L173)</f>
        <v>100</v>
      </c>
      <c r="M174" s="18">
        <f t="shared" si="32"/>
        <v>108.00000000000001</v>
      </c>
      <c r="N174" s="18">
        <f t="shared" si="32"/>
        <v>116.66000000000001</v>
      </c>
      <c r="O174" s="18">
        <f t="shared" si="32"/>
        <v>126.03600000000003</v>
      </c>
      <c r="P174" s="18">
        <f t="shared" si="32"/>
        <v>136.18887080000005</v>
      </c>
      <c r="Q174" s="18">
        <f t="shared" si="32"/>
        <v>147.18478680000004</v>
      </c>
      <c r="R174" s="18">
        <f t="shared" si="32"/>
        <v>159.09569795780004</v>
      </c>
      <c r="S174" s="18">
        <f t="shared" si="32"/>
        <v>171.99984450132007</v>
      </c>
      <c r="T174" s="18">
        <f t="shared" si="32"/>
        <v>185.98231832669683</v>
      </c>
      <c r="U174" s="18">
        <f t="shared" si="32"/>
        <v>201.1356753793919</v>
      </c>
      <c r="V174" s="18">
        <f t="shared" si="32"/>
        <v>217.56060371594663</v>
      </c>
      <c r="W174" s="18">
        <f t="shared" si="32"/>
        <v>235.36665238210571</v>
      </c>
      <c r="X174" s="18">
        <f t="shared" si="32"/>
        <v>254.67302672238515</v>
      </c>
    </row>
    <row r="175" spans="2:24" hidden="1" outlineLevel="1"/>
    <row r="176" spans="2:24" collapsed="1">
      <c r="D176" s="28" t="str">
        <f>Asmptn!D389</f>
        <v>Total Revenue</v>
      </c>
      <c r="L176" s="11">
        <f>L174</f>
        <v>100</v>
      </c>
      <c r="M176" s="11">
        <f t="shared" ref="M176:X176" si="33">M174</f>
        <v>108.00000000000001</v>
      </c>
      <c r="N176" s="11">
        <f t="shared" si="33"/>
        <v>116.66000000000001</v>
      </c>
      <c r="O176" s="11">
        <f t="shared" si="33"/>
        <v>126.03600000000003</v>
      </c>
      <c r="P176" s="11">
        <f t="shared" si="33"/>
        <v>136.18887080000005</v>
      </c>
      <c r="Q176" s="11">
        <f t="shared" si="33"/>
        <v>147.18478680000004</v>
      </c>
      <c r="R176" s="11">
        <f t="shared" si="33"/>
        <v>159.09569795780004</v>
      </c>
      <c r="S176" s="11">
        <f t="shared" si="33"/>
        <v>171.99984450132007</v>
      </c>
      <c r="T176" s="11">
        <f t="shared" si="33"/>
        <v>185.98231832669683</v>
      </c>
      <c r="U176" s="11">
        <f t="shared" si="33"/>
        <v>201.1356753793919</v>
      </c>
      <c r="V176" s="11">
        <f t="shared" si="33"/>
        <v>217.56060371594663</v>
      </c>
      <c r="W176" s="11">
        <f t="shared" si="33"/>
        <v>235.36665238210571</v>
      </c>
      <c r="X176" s="11">
        <f t="shared" si="33"/>
        <v>254.67302672238515</v>
      </c>
    </row>
    <row r="177" spans="4:24" hidden="1" outlineLevel="1"/>
    <row r="178" spans="4:24" hidden="1" outlineLevel="1">
      <c r="D178" s="28" t="str">
        <f>Asmptn!D431</f>
        <v>30 Days Receivable</v>
      </c>
      <c r="L178" s="52">
        <f>-(Asmptn!L431+Asmptn!L435)</f>
        <v>91.780821917808225</v>
      </c>
      <c r="M178" s="52">
        <f>-(Asmptn!M431+Asmptn!M435)</f>
        <v>-0.6575342465753522</v>
      </c>
      <c r="N178" s="52">
        <f>-(Asmptn!N431+Asmptn!N435)</f>
        <v>-0.71178082191779879</v>
      </c>
      <c r="O178" s="52">
        <f>-(Asmptn!O431+Asmptn!O435)</f>
        <v>-0.74232652144621625</v>
      </c>
      <c r="P178" s="52">
        <f>-(Asmptn!P431+Asmptn!P435)</f>
        <v>-0.8627861470469611</v>
      </c>
      <c r="Q178" s="52">
        <f>-(Asmptn!Q431+Asmptn!Q435)</f>
        <v>-0.90377391780822336</v>
      </c>
      <c r="R178" s="52">
        <f>-(Asmptn!R431+Asmptn!R435)</f>
        <v>-0.97897899927122012</v>
      </c>
      <c r="S178" s="52">
        <f>-(Asmptn!S431+Asmptn!S435)</f>
        <v>-1.0219891736867339</v>
      </c>
      <c r="T178" s="52">
        <f>-(Asmptn!T431+Asmptn!T435)</f>
        <v>-1.1878700347157576</v>
      </c>
      <c r="U178" s="52">
        <f>-(Asmptn!U431+Asmptn!U435)</f>
        <v>-1.2454814015913769</v>
      </c>
      <c r="V178" s="52">
        <f>-(Asmptn!V431+Asmptn!V435)</f>
        <v>-1.3499941098538102</v>
      </c>
      <c r="W178" s="52">
        <f>-(Asmptn!W431+Asmptn!W435)</f>
        <v>-1.4106550998050977</v>
      </c>
      <c r="X178" s="52">
        <f>-(Asmptn!X431+Asmptn!X435)</f>
        <v>-1.6396810377103748</v>
      </c>
    </row>
    <row r="179" spans="4:24" collapsed="1">
      <c r="D179" s="27" t="s">
        <v>271</v>
      </c>
      <c r="L179" s="11">
        <f t="shared" ref="L179:X179" si="34">SUM(L178:L178)</f>
        <v>91.780821917808225</v>
      </c>
      <c r="M179" s="11">
        <f t="shared" si="34"/>
        <v>-0.6575342465753522</v>
      </c>
      <c r="N179" s="11">
        <f t="shared" si="34"/>
        <v>-0.71178082191779879</v>
      </c>
      <c r="O179" s="11">
        <f t="shared" si="34"/>
        <v>-0.74232652144621625</v>
      </c>
      <c r="P179" s="11">
        <f t="shared" si="34"/>
        <v>-0.8627861470469611</v>
      </c>
      <c r="Q179" s="11">
        <f t="shared" si="34"/>
        <v>-0.90377391780822336</v>
      </c>
      <c r="R179" s="11">
        <f t="shared" si="34"/>
        <v>-0.97897899927122012</v>
      </c>
      <c r="S179" s="11">
        <f t="shared" si="34"/>
        <v>-1.0219891736867339</v>
      </c>
      <c r="T179" s="11">
        <f t="shared" si="34"/>
        <v>-1.1878700347157576</v>
      </c>
      <c r="U179" s="11">
        <f t="shared" si="34"/>
        <v>-1.2454814015913769</v>
      </c>
      <c r="V179" s="11">
        <f t="shared" si="34"/>
        <v>-1.3499941098538102</v>
      </c>
      <c r="W179" s="11">
        <f t="shared" si="34"/>
        <v>-1.4106550998050977</v>
      </c>
      <c r="X179" s="11">
        <f t="shared" si="34"/>
        <v>-1.6396810377103748</v>
      </c>
    </row>
    <row r="180" spans="4:24" hidden="1" outlineLevel="1"/>
    <row r="181" spans="4:24" collapsed="1">
      <c r="D181" s="27" t="s">
        <v>76</v>
      </c>
      <c r="L181" s="18">
        <f t="shared" ref="L181:X181" si="35">L176+L179</f>
        <v>191.78082191780823</v>
      </c>
      <c r="M181" s="18">
        <f t="shared" si="35"/>
        <v>107.34246575342466</v>
      </c>
      <c r="N181" s="18">
        <f t="shared" si="35"/>
        <v>115.94821917808221</v>
      </c>
      <c r="O181" s="18">
        <f t="shared" si="35"/>
        <v>125.29367347855381</v>
      </c>
      <c r="P181" s="18">
        <f t="shared" si="35"/>
        <v>135.32608465295309</v>
      </c>
      <c r="Q181" s="18">
        <f t="shared" si="35"/>
        <v>146.28101288219182</v>
      </c>
      <c r="R181" s="18">
        <f t="shared" si="35"/>
        <v>158.11671895852882</v>
      </c>
      <c r="S181" s="18">
        <f t="shared" si="35"/>
        <v>170.97785532763334</v>
      </c>
      <c r="T181" s="18">
        <f t="shared" si="35"/>
        <v>184.79444829198107</v>
      </c>
      <c r="U181" s="18">
        <f t="shared" si="35"/>
        <v>199.89019397780052</v>
      </c>
      <c r="V181" s="18">
        <f t="shared" si="35"/>
        <v>216.21060960609282</v>
      </c>
      <c r="W181" s="18">
        <f t="shared" si="35"/>
        <v>233.95599728230061</v>
      </c>
      <c r="X181" s="18">
        <f t="shared" si="35"/>
        <v>253.03334568467477</v>
      </c>
    </row>
    <row r="183" spans="4:24" hidden="1" outlineLevel="1">
      <c r="D183" s="26" t="str">
        <f>Asmptn!C391</f>
        <v>Cost of Sales</v>
      </c>
    </row>
    <row r="184" spans="4:24" hidden="1" outlineLevel="1"/>
    <row r="185" spans="4:24" hidden="1" outlineLevel="1">
      <c r="D185" s="28" t="str">
        <f>Asmptn!D393</f>
        <v>Cost of Sales Category 1</v>
      </c>
      <c r="L185" s="11">
        <f>-Asmptn!L393</f>
        <v>-10.25</v>
      </c>
      <c r="M185" s="11">
        <f>-Asmptn!M393</f>
        <v>-10.50625</v>
      </c>
      <c r="N185" s="11">
        <f>-Asmptn!N393</f>
        <v>-10.768906249999999</v>
      </c>
      <c r="O185" s="11">
        <f>-Asmptn!O393</f>
        <v>-11.038128906249998</v>
      </c>
      <c r="P185" s="11">
        <f>-Asmptn!P393</f>
        <v>-11.314082128906247</v>
      </c>
      <c r="Q185" s="11">
        <f>-Asmptn!Q393</f>
        <v>-11.596934182128901</v>
      </c>
      <c r="R185" s="11">
        <f>-Asmptn!R393</f>
        <v>-11.886857536682124</v>
      </c>
      <c r="S185" s="11">
        <f>-Asmptn!S393</f>
        <v>-12.184028975099176</v>
      </c>
      <c r="T185" s="11">
        <f>-Asmptn!T393</f>
        <v>-12.488629699476654</v>
      </c>
      <c r="U185" s="11">
        <f>-Asmptn!U393</f>
        <v>-12.800845441963569</v>
      </c>
      <c r="V185" s="11">
        <f>-Asmptn!V393</f>
        <v>-13.120866578012656</v>
      </c>
      <c r="W185" s="11">
        <f>-Asmptn!W393</f>
        <v>-13.448888242462971</v>
      </c>
      <c r="X185" s="11">
        <f>-Asmptn!X393</f>
        <v>-13.785110448524543</v>
      </c>
    </row>
    <row r="186" spans="4:24" hidden="1" outlineLevel="1">
      <c r="D186" s="28" t="str">
        <f>Asmptn!D394</f>
        <v>Cost of Sales Category 2</v>
      </c>
      <c r="L186" s="11">
        <f>-Asmptn!L394</f>
        <v>-11.274999999999999</v>
      </c>
      <c r="M186" s="11">
        <f>-Asmptn!M394</f>
        <v>-11.556874999999998</v>
      </c>
      <c r="N186" s="11">
        <f>-Asmptn!N394</f>
        <v>-11.845796874999998</v>
      </c>
      <c r="O186" s="11">
        <f>-Asmptn!O394</f>
        <v>-12.141941796874997</v>
      </c>
      <c r="P186" s="11">
        <f>-Asmptn!P394</f>
        <v>-12.445490341796871</v>
      </c>
      <c r="Q186" s="11">
        <f>-Asmptn!Q394</f>
        <v>-12.756627600341792</v>
      </c>
      <c r="R186" s="11">
        <f>-Asmptn!R394</f>
        <v>-13.075543290350335</v>
      </c>
      <c r="S186" s="11">
        <f>-Asmptn!S394</f>
        <v>-13.402431872609093</v>
      </c>
      <c r="T186" s="11">
        <f>-Asmptn!T394</f>
        <v>-13.737492669424318</v>
      </c>
      <c r="U186" s="11">
        <f>-Asmptn!U394</f>
        <v>-14.080929986159925</v>
      </c>
      <c r="V186" s="11">
        <f>-Asmptn!V394</f>
        <v>-14.432953235813921</v>
      </c>
      <c r="W186" s="11">
        <f>-Asmptn!W394</f>
        <v>-14.793777066709268</v>
      </c>
      <c r="X186" s="11">
        <f>-Asmptn!X394</f>
        <v>-15.163621493376999</v>
      </c>
    </row>
    <row r="187" spans="4:24" hidden="1" outlineLevel="1">
      <c r="D187" s="28" t="str">
        <f>Asmptn!D395</f>
        <v>Cost of Sales Category 3</v>
      </c>
      <c r="L187" s="11">
        <f>-Asmptn!L395</f>
        <v>-12.299999999999999</v>
      </c>
      <c r="M187" s="11">
        <f>-Asmptn!M395</f>
        <v>-12.607499999999998</v>
      </c>
      <c r="N187" s="11">
        <f>-Asmptn!N395</f>
        <v>-12.922687499999997</v>
      </c>
      <c r="O187" s="11">
        <f>-Asmptn!O395</f>
        <v>-13.245754687499996</v>
      </c>
      <c r="P187" s="11">
        <f>-Asmptn!P395</f>
        <v>-13.576898554687496</v>
      </c>
      <c r="Q187" s="11">
        <f>-Asmptn!Q395</f>
        <v>-13.916321018554681</v>
      </c>
      <c r="R187" s="11">
        <f>-Asmptn!R395</f>
        <v>-14.264229044018547</v>
      </c>
      <c r="S187" s="11">
        <f>-Asmptn!S395</f>
        <v>-14.620834770119009</v>
      </c>
      <c r="T187" s="11">
        <f>-Asmptn!T395</f>
        <v>-14.986355639371983</v>
      </c>
      <c r="U187" s="11">
        <f>-Asmptn!U395</f>
        <v>-15.361014530356281</v>
      </c>
      <c r="V187" s="11">
        <f>-Asmptn!V395</f>
        <v>-15.745039893615186</v>
      </c>
      <c r="W187" s="11">
        <f>-Asmptn!W395</f>
        <v>-16.138665890955565</v>
      </c>
      <c r="X187" s="11">
        <f>-Asmptn!X395</f>
        <v>-16.542132538229453</v>
      </c>
    </row>
    <row r="188" spans="4:24" hidden="1" outlineLevel="1">
      <c r="D188" s="28" t="str">
        <f>Asmptn!D396</f>
        <v>Cost of Sales Category 4</v>
      </c>
      <c r="L188" s="11">
        <f>-Asmptn!L396</f>
        <v>-13.324999999999999</v>
      </c>
      <c r="M188" s="11">
        <f>-Asmptn!M396</f>
        <v>-13.658124999999998</v>
      </c>
      <c r="N188" s="11">
        <f>-Asmptn!N396</f>
        <v>-13.999578124999998</v>
      </c>
      <c r="O188" s="11">
        <f>-Asmptn!O396</f>
        <v>-14.349567578124995</v>
      </c>
      <c r="P188" s="11">
        <f>-Asmptn!P396</f>
        <v>-14.708306767578119</v>
      </c>
      <c r="Q188" s="11">
        <f>-Asmptn!Q396</f>
        <v>-15.07601443676757</v>
      </c>
      <c r="R188" s="11">
        <f>-Asmptn!R396</f>
        <v>-15.452914797686759</v>
      </c>
      <c r="S188" s="11">
        <f>-Asmptn!S396</f>
        <v>-15.839237667628927</v>
      </c>
      <c r="T188" s="11">
        <f>-Asmptn!T396</f>
        <v>-16.235218609319649</v>
      </c>
      <c r="U188" s="11">
        <f>-Asmptn!U396</f>
        <v>-16.641099074552638</v>
      </c>
      <c r="V188" s="11">
        <f>-Asmptn!V396</f>
        <v>-17.057126551416452</v>
      </c>
      <c r="W188" s="11">
        <f>-Asmptn!W396</f>
        <v>-17.483554715201862</v>
      </c>
      <c r="X188" s="11">
        <f>-Asmptn!X396</f>
        <v>-17.920643583081908</v>
      </c>
    </row>
    <row r="189" spans="4:24" hidden="1" outlineLevel="1">
      <c r="D189" s="28" t="str">
        <f>Asmptn!D397</f>
        <v>Cost of Sales Category 5</v>
      </c>
      <c r="L189" s="11">
        <f>-Asmptn!L397</f>
        <v>-14.349999999999998</v>
      </c>
      <c r="M189" s="11">
        <f>-Asmptn!M397</f>
        <v>-14.708749999999997</v>
      </c>
      <c r="N189" s="11">
        <f>-Asmptn!N397</f>
        <v>-15.076468749999995</v>
      </c>
      <c r="O189" s="11">
        <f>-Asmptn!O397</f>
        <v>-15.453380468749993</v>
      </c>
      <c r="P189" s="11">
        <f>-Asmptn!P397</f>
        <v>-15.839714980468742</v>
      </c>
      <c r="Q189" s="11">
        <f>-Asmptn!Q397</f>
        <v>-16.235707854980458</v>
      </c>
      <c r="R189" s="11">
        <f>-Asmptn!R397</f>
        <v>-16.641600551354969</v>
      </c>
      <c r="S189" s="11">
        <f>-Asmptn!S397</f>
        <v>-17.057640565138843</v>
      </c>
      <c r="T189" s="11">
        <f>-Asmptn!T397</f>
        <v>-17.484081579267311</v>
      </c>
      <c r="U189" s="11">
        <f>-Asmptn!U397</f>
        <v>-17.921183618748991</v>
      </c>
      <c r="V189" s="11">
        <f>-Asmptn!V397</f>
        <v>-18.369213209217715</v>
      </c>
      <c r="W189" s="11">
        <f>-Asmptn!W397</f>
        <v>-18.828443539448156</v>
      </c>
      <c r="X189" s="11">
        <f>-Asmptn!X397</f>
        <v>-19.299154627934357</v>
      </c>
    </row>
    <row r="190" spans="4:24" hidden="1" outlineLevel="1">
      <c r="D190" s="28" t="str">
        <f>Asmptn!D398</f>
        <v>Sub Total</v>
      </c>
      <c r="L190" s="18">
        <f>SUM(L185:L189)</f>
        <v>-61.499999999999986</v>
      </c>
      <c r="M190" s="18">
        <f t="shared" ref="M190:X190" si="36">SUM(M185:M189)</f>
        <v>-63.037499999999994</v>
      </c>
      <c r="N190" s="18">
        <f t="shared" si="36"/>
        <v>-64.613437499999989</v>
      </c>
      <c r="O190" s="18">
        <f t="shared" si="36"/>
        <v>-66.228773437499981</v>
      </c>
      <c r="P190" s="18">
        <f t="shared" si="36"/>
        <v>-67.884492773437472</v>
      </c>
      <c r="Q190" s="18">
        <f t="shared" si="36"/>
        <v>-69.581605092773401</v>
      </c>
      <c r="R190" s="18">
        <f t="shared" si="36"/>
        <v>-71.321145220092745</v>
      </c>
      <c r="S190" s="18">
        <f t="shared" si="36"/>
        <v>-73.104173850595046</v>
      </c>
      <c r="T190" s="18">
        <f t="shared" si="36"/>
        <v>-74.931778196859909</v>
      </c>
      <c r="U190" s="18">
        <f t="shared" si="36"/>
        <v>-76.805072651781416</v>
      </c>
      <c r="V190" s="18">
        <f t="shared" si="36"/>
        <v>-78.725199468075928</v>
      </c>
      <c r="W190" s="18">
        <f t="shared" si="36"/>
        <v>-80.693329454777825</v>
      </c>
      <c r="X190" s="18">
        <f t="shared" si="36"/>
        <v>-82.710662691147263</v>
      </c>
    </row>
    <row r="191" spans="4:24" hidden="1" outlineLevel="1">
      <c r="L191" s="2"/>
      <c r="M191" s="2"/>
      <c r="N191" s="2"/>
      <c r="O191" s="2"/>
      <c r="P191" s="2"/>
      <c r="Q191" s="2"/>
      <c r="R191" s="2"/>
      <c r="S191" s="2"/>
      <c r="T191" s="2"/>
      <c r="U191" s="2"/>
      <c r="V191" s="2"/>
      <c r="W191" s="2"/>
      <c r="X191" s="2"/>
    </row>
    <row r="192" spans="4:24" collapsed="1">
      <c r="D192" s="28" t="str">
        <f>Asmptn!D400</f>
        <v>Total Cost of Sales</v>
      </c>
      <c r="L192" s="11">
        <f>L190</f>
        <v>-61.499999999999986</v>
      </c>
      <c r="M192" s="11">
        <f t="shared" ref="M192:X192" si="37">M190</f>
        <v>-63.037499999999994</v>
      </c>
      <c r="N192" s="11">
        <f t="shared" si="37"/>
        <v>-64.613437499999989</v>
      </c>
      <c r="O192" s="11">
        <f t="shared" si="37"/>
        <v>-66.228773437499981</v>
      </c>
      <c r="P192" s="11">
        <f t="shared" si="37"/>
        <v>-67.884492773437472</v>
      </c>
      <c r="Q192" s="11">
        <f t="shared" si="37"/>
        <v>-69.581605092773401</v>
      </c>
      <c r="R192" s="11">
        <f t="shared" si="37"/>
        <v>-71.321145220092745</v>
      </c>
      <c r="S192" s="11">
        <f t="shared" si="37"/>
        <v>-73.104173850595046</v>
      </c>
      <c r="T192" s="11">
        <f t="shared" si="37"/>
        <v>-74.931778196859909</v>
      </c>
      <c r="U192" s="11">
        <f t="shared" si="37"/>
        <v>-76.805072651781416</v>
      </c>
      <c r="V192" s="11">
        <f t="shared" si="37"/>
        <v>-78.725199468075928</v>
      </c>
      <c r="W192" s="11">
        <f t="shared" si="37"/>
        <v>-80.693329454777825</v>
      </c>
      <c r="X192" s="11">
        <f t="shared" si="37"/>
        <v>-82.710662691147263</v>
      </c>
    </row>
    <row r="193" spans="4:24" hidden="1" outlineLevel="1"/>
    <row r="194" spans="4:24" hidden="1" outlineLevel="1">
      <c r="D194" s="26" t="str">
        <f>Asmptn!C402</f>
        <v>Operating Expenditure</v>
      </c>
    </row>
    <row r="195" spans="4:24" hidden="1" outlineLevel="1"/>
    <row r="196" spans="4:24" hidden="1" outlineLevel="1">
      <c r="D196" s="28" t="str">
        <f>Asmptn!D404</f>
        <v>Expense Category 1</v>
      </c>
      <c r="L196" s="11">
        <f>-Asmptn!L404</f>
        <v>0</v>
      </c>
      <c r="M196" s="11">
        <f>-Asmptn!M404</f>
        <v>0</v>
      </c>
      <c r="N196" s="11">
        <f>-Asmptn!N404</f>
        <v>-10</v>
      </c>
      <c r="O196" s="11">
        <f>-Asmptn!O404</f>
        <v>0</v>
      </c>
      <c r="P196" s="11">
        <f>-Asmptn!P404</f>
        <v>-10</v>
      </c>
      <c r="Q196" s="11">
        <f>-Asmptn!Q404</f>
        <v>0</v>
      </c>
      <c r="R196" s="11">
        <f>-Asmptn!R404</f>
        <v>-10</v>
      </c>
      <c r="S196" s="11">
        <f>-Asmptn!S404</f>
        <v>0</v>
      </c>
      <c r="T196" s="11">
        <f>-Asmptn!T404</f>
        <v>-10</v>
      </c>
      <c r="U196" s="11">
        <f>-Asmptn!U404</f>
        <v>0</v>
      </c>
      <c r="V196" s="11">
        <f>-Asmptn!V404</f>
        <v>-10</v>
      </c>
      <c r="W196" s="11">
        <f>-Asmptn!W404</f>
        <v>0</v>
      </c>
      <c r="X196" s="11">
        <f>-Asmptn!X404</f>
        <v>-10</v>
      </c>
    </row>
    <row r="197" spans="4:24" hidden="1" outlineLevel="1">
      <c r="D197" s="28" t="str">
        <f>Asmptn!D405</f>
        <v>Expense Category 2</v>
      </c>
      <c r="L197" s="11">
        <f>-Asmptn!L405</f>
        <v>-6</v>
      </c>
      <c r="M197" s="11">
        <f>-Asmptn!M405</f>
        <v>0</v>
      </c>
      <c r="N197" s="11">
        <f>-Asmptn!N405</f>
        <v>0</v>
      </c>
      <c r="O197" s="11">
        <f>-Asmptn!O405</f>
        <v>-6</v>
      </c>
      <c r="P197" s="11">
        <f>-Asmptn!P405</f>
        <v>0</v>
      </c>
      <c r="Q197" s="11">
        <f>-Asmptn!Q405</f>
        <v>0</v>
      </c>
      <c r="R197" s="11">
        <f>-Asmptn!R405</f>
        <v>-6</v>
      </c>
      <c r="S197" s="11">
        <f>-Asmptn!S405</f>
        <v>0</v>
      </c>
      <c r="T197" s="11">
        <f>-Asmptn!T405</f>
        <v>0</v>
      </c>
      <c r="U197" s="11">
        <f>-Asmptn!U405</f>
        <v>-6</v>
      </c>
      <c r="V197" s="11">
        <f>-Asmptn!V405</f>
        <v>0</v>
      </c>
      <c r="W197" s="11">
        <f>-Asmptn!W405</f>
        <v>0</v>
      </c>
      <c r="X197" s="11">
        <f>-Asmptn!X405</f>
        <v>-6</v>
      </c>
    </row>
    <row r="198" spans="4:24" hidden="1" outlineLevel="1">
      <c r="D198" s="28" t="str">
        <f>Asmptn!D406</f>
        <v>Expense Category 3</v>
      </c>
      <c r="L198" s="11">
        <f>-Asmptn!L406</f>
        <v>0</v>
      </c>
      <c r="M198" s="11">
        <f>-Asmptn!M406</f>
        <v>-12</v>
      </c>
      <c r="N198" s="11">
        <f>-Asmptn!N406</f>
        <v>0</v>
      </c>
      <c r="O198" s="11">
        <f>-Asmptn!O406</f>
        <v>0</v>
      </c>
      <c r="P198" s="11">
        <f>-Asmptn!P406</f>
        <v>0</v>
      </c>
      <c r="Q198" s="11">
        <f>-Asmptn!Q406</f>
        <v>-12</v>
      </c>
      <c r="R198" s="11">
        <f>-Asmptn!R406</f>
        <v>0</v>
      </c>
      <c r="S198" s="11">
        <f>-Asmptn!S406</f>
        <v>0</v>
      </c>
      <c r="T198" s="11">
        <f>-Asmptn!T406</f>
        <v>0</v>
      </c>
      <c r="U198" s="11">
        <f>-Asmptn!U406</f>
        <v>-12</v>
      </c>
      <c r="V198" s="11">
        <f>-Asmptn!V406</f>
        <v>0</v>
      </c>
      <c r="W198" s="11">
        <f>-Asmptn!W406</f>
        <v>0</v>
      </c>
      <c r="X198" s="11">
        <f>-Asmptn!X406</f>
        <v>0</v>
      </c>
    </row>
    <row r="199" spans="4:24" hidden="1" outlineLevel="1">
      <c r="D199" s="28" t="str">
        <f>Asmptn!D407</f>
        <v>Expense Category 4</v>
      </c>
      <c r="L199" s="11">
        <f>-Asmptn!L407</f>
        <v>0</v>
      </c>
      <c r="M199" s="11">
        <f>-Asmptn!M407</f>
        <v>0</v>
      </c>
      <c r="N199" s="11">
        <f>-Asmptn!N407</f>
        <v>-13</v>
      </c>
      <c r="O199" s="11">
        <f>-Asmptn!O407</f>
        <v>-13</v>
      </c>
      <c r="P199" s="11">
        <f>-Asmptn!P407</f>
        <v>-13</v>
      </c>
      <c r="Q199" s="11">
        <f>-Asmptn!Q407</f>
        <v>-13</v>
      </c>
      <c r="R199" s="11">
        <f>-Asmptn!R407</f>
        <v>-13</v>
      </c>
      <c r="S199" s="11">
        <f>-Asmptn!S407</f>
        <v>-13</v>
      </c>
      <c r="T199" s="11">
        <f>-Asmptn!T407</f>
        <v>-13</v>
      </c>
      <c r="U199" s="11">
        <f>-Asmptn!U407</f>
        <v>-13</v>
      </c>
      <c r="V199" s="11">
        <f>-Asmptn!V407</f>
        <v>-13</v>
      </c>
      <c r="W199" s="11">
        <f>-Asmptn!W407</f>
        <v>-13</v>
      </c>
      <c r="X199" s="11">
        <f>-Asmptn!X407</f>
        <v>-13</v>
      </c>
    </row>
    <row r="200" spans="4:24" hidden="1" outlineLevel="1">
      <c r="D200" s="28" t="str">
        <f>Asmptn!D408</f>
        <v>Expense Category 5</v>
      </c>
      <c r="L200" s="11">
        <f>-Asmptn!L408</f>
        <v>0</v>
      </c>
      <c r="M200" s="11">
        <f>-Asmptn!M408</f>
        <v>0</v>
      </c>
      <c r="N200" s="11">
        <f>-Asmptn!N408</f>
        <v>0</v>
      </c>
      <c r="O200" s="11">
        <f>-Asmptn!O408</f>
        <v>-14</v>
      </c>
      <c r="P200" s="11">
        <f>-Asmptn!P408</f>
        <v>0</v>
      </c>
      <c r="Q200" s="11">
        <f>-Asmptn!Q408</f>
        <v>0</v>
      </c>
      <c r="R200" s="11">
        <f>-Asmptn!R408</f>
        <v>0</v>
      </c>
      <c r="S200" s="11">
        <f>-Asmptn!S408</f>
        <v>0</v>
      </c>
      <c r="T200" s="11">
        <f>-Asmptn!T408</f>
        <v>0</v>
      </c>
      <c r="U200" s="11">
        <f>-Asmptn!U408</f>
        <v>0</v>
      </c>
      <c r="V200" s="11">
        <f>-Asmptn!V408</f>
        <v>0</v>
      </c>
      <c r="W200" s="11">
        <f>-Asmptn!W408</f>
        <v>0</v>
      </c>
      <c r="X200" s="11">
        <f>-Asmptn!X408</f>
        <v>0</v>
      </c>
    </row>
    <row r="201" spans="4:24" hidden="1" outlineLevel="1">
      <c r="D201" s="28" t="str">
        <f>Asmptn!D409</f>
        <v>Sub Total</v>
      </c>
      <c r="L201" s="18">
        <f>SUM(L196:L200)</f>
        <v>-6</v>
      </c>
      <c r="M201" s="18">
        <f t="shared" ref="M201:X201" si="38">SUM(M196:M200)</f>
        <v>-12</v>
      </c>
      <c r="N201" s="18">
        <f t="shared" si="38"/>
        <v>-23</v>
      </c>
      <c r="O201" s="18">
        <f t="shared" si="38"/>
        <v>-33</v>
      </c>
      <c r="P201" s="18">
        <f t="shared" si="38"/>
        <v>-23</v>
      </c>
      <c r="Q201" s="18">
        <f t="shared" si="38"/>
        <v>-25</v>
      </c>
      <c r="R201" s="18">
        <f t="shared" si="38"/>
        <v>-29</v>
      </c>
      <c r="S201" s="18">
        <f t="shared" si="38"/>
        <v>-13</v>
      </c>
      <c r="T201" s="18">
        <f t="shared" si="38"/>
        <v>-23</v>
      </c>
      <c r="U201" s="18">
        <f t="shared" si="38"/>
        <v>-31</v>
      </c>
      <c r="V201" s="18">
        <f t="shared" si="38"/>
        <v>-23</v>
      </c>
      <c r="W201" s="18">
        <f t="shared" si="38"/>
        <v>-13</v>
      </c>
      <c r="X201" s="18">
        <f t="shared" si="38"/>
        <v>-29</v>
      </c>
    </row>
    <row r="202" spans="4:24" hidden="1" outlineLevel="1">
      <c r="L202" s="2"/>
      <c r="M202" s="2"/>
      <c r="N202" s="2"/>
      <c r="O202" s="2"/>
      <c r="P202" s="2"/>
      <c r="Q202" s="2"/>
      <c r="R202" s="2"/>
      <c r="S202" s="2"/>
      <c r="T202" s="2"/>
      <c r="U202" s="2"/>
      <c r="V202" s="2"/>
      <c r="W202" s="2"/>
      <c r="X202" s="2"/>
    </row>
    <row r="203" spans="4:24" collapsed="1">
      <c r="D203" s="28" t="str">
        <f>Asmptn!D411</f>
        <v>Total Opex</v>
      </c>
      <c r="L203" s="11">
        <f>L201</f>
        <v>-6</v>
      </c>
      <c r="M203" s="11">
        <f t="shared" ref="M203:X203" si="39">M201</f>
        <v>-12</v>
      </c>
      <c r="N203" s="11">
        <f t="shared" si="39"/>
        <v>-23</v>
      </c>
      <c r="O203" s="11">
        <f t="shared" si="39"/>
        <v>-33</v>
      </c>
      <c r="P203" s="11">
        <f t="shared" si="39"/>
        <v>-23</v>
      </c>
      <c r="Q203" s="11">
        <f t="shared" si="39"/>
        <v>-25</v>
      </c>
      <c r="R203" s="11">
        <f t="shared" si="39"/>
        <v>-29</v>
      </c>
      <c r="S203" s="11">
        <f t="shared" si="39"/>
        <v>-13</v>
      </c>
      <c r="T203" s="11">
        <f t="shared" si="39"/>
        <v>-23</v>
      </c>
      <c r="U203" s="11">
        <f t="shared" si="39"/>
        <v>-31</v>
      </c>
      <c r="V203" s="11">
        <f t="shared" si="39"/>
        <v>-23</v>
      </c>
      <c r="W203" s="11">
        <f t="shared" si="39"/>
        <v>-13</v>
      </c>
      <c r="X203" s="11">
        <f t="shared" si="39"/>
        <v>-29</v>
      </c>
    </row>
    <row r="204" spans="4:24" hidden="1" outlineLevel="1"/>
    <row r="205" spans="4:24" hidden="1" outlineLevel="1">
      <c r="D205" s="28" t="str">
        <f>Asmptn!D450</f>
        <v>Cost of Sales</v>
      </c>
      <c r="L205" s="11">
        <f>Asmptn!L450+Asmptn!L455</f>
        <v>0.1095890410958873</v>
      </c>
      <c r="M205" s="11">
        <f>Asmptn!M450+Asmptn!M455</f>
        <v>0.25273972602740002</v>
      </c>
      <c r="N205" s="11">
        <f>Asmptn!N450+Asmptn!N455</f>
        <v>0.25905821917807259</v>
      </c>
      <c r="O205" s="11">
        <f>Asmptn!O450+Asmptn!O455</f>
        <v>0.23578898705927998</v>
      </c>
      <c r="P205" s="11">
        <f>Asmptn!P450+Asmptn!P455</f>
        <v>0.30191872912223516</v>
      </c>
      <c r="Q205" s="11" t="e">
        <f>Asmptn!Q450+Asmptn!Q455</f>
        <v>#VALUE!</v>
      </c>
      <c r="R205" s="11">
        <f>Asmptn!R450+Asmptn!R455</f>
        <v>0.28595180175112489</v>
      </c>
      <c r="S205" s="11">
        <f>Asmptn!S450+Asmptn!S455</f>
        <v>0.26026692338344048</v>
      </c>
      <c r="T205" s="11">
        <f>Asmptn!T450+Asmptn!T455</f>
        <v>0.33326178512623983</v>
      </c>
      <c r="U205" s="11">
        <f>Asmptn!U450+Asmptn!U455</f>
        <v>0.30793881450763649</v>
      </c>
      <c r="V205" s="11">
        <f>Asmptn!V450+Asmptn!V455</f>
        <v>0.31563728487033416</v>
      </c>
      <c r="W205" s="11">
        <f>Asmptn!W450+Asmptn!W455</f>
        <v>0.28728598503396086</v>
      </c>
      <c r="X205" s="11">
        <f>Asmptn!X450+Asmptn!X455</f>
        <v>0.36785865437502707</v>
      </c>
    </row>
    <row r="206" spans="4:24" hidden="1" outlineLevel="1">
      <c r="D206" s="28" t="str">
        <f>Asmptn!D451</f>
        <v>Operating Expenditure</v>
      </c>
      <c r="L206" s="52">
        <f>Asmptn!L451+Asmptn!L456</f>
        <v>0</v>
      </c>
      <c r="M206" s="52">
        <f>Asmptn!M451+Asmptn!M456</f>
        <v>0</v>
      </c>
      <c r="N206" s="52">
        <f>Asmptn!N451+Asmptn!N456</f>
        <v>0</v>
      </c>
      <c r="O206" s="52">
        <f>Asmptn!O451+Asmptn!O456</f>
        <v>0</v>
      </c>
      <c r="P206" s="52">
        <f>Asmptn!P451+Asmptn!P456</f>
        <v>0</v>
      </c>
      <c r="Q206" s="52">
        <f>Asmptn!Q451+Asmptn!Q456</f>
        <v>0</v>
      </c>
      <c r="R206" s="52">
        <f>Asmptn!R451+Asmptn!R456</f>
        <v>0</v>
      </c>
      <c r="S206" s="52">
        <f>Asmptn!S451+Asmptn!S456</f>
        <v>0</v>
      </c>
      <c r="T206" s="52">
        <f>Asmptn!T451+Asmptn!T456</f>
        <v>0</v>
      </c>
      <c r="U206" s="52">
        <f>Asmptn!U451+Asmptn!U456</f>
        <v>0</v>
      </c>
      <c r="V206" s="52">
        <f>Asmptn!V451+Asmptn!V456</f>
        <v>0</v>
      </c>
      <c r="W206" s="52">
        <f>Asmptn!W451+Asmptn!W456</f>
        <v>0</v>
      </c>
      <c r="X206" s="52">
        <f>Asmptn!X451+Asmptn!X456</f>
        <v>0</v>
      </c>
    </row>
    <row r="207" spans="4:24" collapsed="1">
      <c r="D207" s="27" t="s">
        <v>272</v>
      </c>
      <c r="L207" s="11">
        <f t="shared" ref="L207:X207" si="40">SUM(L205:L206)</f>
        <v>0.1095890410958873</v>
      </c>
      <c r="M207" s="11">
        <f>SUM(M205:M206)</f>
        <v>0.25273972602740002</v>
      </c>
      <c r="N207" s="11">
        <f t="shared" si="40"/>
        <v>0.25905821917807259</v>
      </c>
      <c r="O207" s="11">
        <f t="shared" si="40"/>
        <v>0.23578898705927998</v>
      </c>
      <c r="P207" s="11">
        <f t="shared" si="40"/>
        <v>0.30191872912223516</v>
      </c>
      <c r="Q207" s="11" t="e">
        <f t="shared" si="40"/>
        <v>#VALUE!</v>
      </c>
      <c r="R207" s="11">
        <f t="shared" si="40"/>
        <v>0.28595180175112489</v>
      </c>
      <c r="S207" s="11">
        <f t="shared" si="40"/>
        <v>0.26026692338344048</v>
      </c>
      <c r="T207" s="11">
        <f t="shared" si="40"/>
        <v>0.33326178512623983</v>
      </c>
      <c r="U207" s="11">
        <f t="shared" si="40"/>
        <v>0.30793881450763649</v>
      </c>
      <c r="V207" s="11">
        <f t="shared" si="40"/>
        <v>0.31563728487033416</v>
      </c>
      <c r="W207" s="11">
        <f t="shared" si="40"/>
        <v>0.28728598503396086</v>
      </c>
      <c r="X207" s="11">
        <f t="shared" si="40"/>
        <v>0.36785865437502707</v>
      </c>
    </row>
    <row r="208" spans="4:24" hidden="1" outlineLevel="1"/>
    <row r="209" spans="3:24" hidden="1" outlineLevel="1">
      <c r="D209" s="28" t="str">
        <f>Asmptn!D513</f>
        <v>Debt Category 1</v>
      </c>
      <c r="L209" s="52">
        <f>Asmptn!L513</f>
        <v>-1.2375</v>
      </c>
      <c r="M209" s="52">
        <f>Asmptn!M513</f>
        <v>-1.7999999999999998</v>
      </c>
      <c r="N209" s="52">
        <f>Asmptn!N513</f>
        <v>-1.7999999999999998</v>
      </c>
      <c r="O209" s="52">
        <f>Asmptn!O513</f>
        <v>-1.7999999999999998</v>
      </c>
      <c r="P209" s="52">
        <f>Asmptn!P513</f>
        <v>-2.4750000000000001</v>
      </c>
      <c r="Q209" s="52">
        <f>Asmptn!Q513</f>
        <v>-3.15</v>
      </c>
      <c r="R209" s="52">
        <f>Asmptn!R513</f>
        <v>-3.15</v>
      </c>
      <c r="S209" s="52">
        <f>Asmptn!S513</f>
        <v>-3.15</v>
      </c>
      <c r="T209" s="52">
        <f>Asmptn!T513</f>
        <v>-3.9375</v>
      </c>
      <c r="U209" s="52">
        <f>Asmptn!U513</f>
        <v>-4.7249999999999996</v>
      </c>
      <c r="V209" s="52">
        <f>Asmptn!V513</f>
        <v>-4.7249999999999996</v>
      </c>
      <c r="W209" s="52">
        <f>Asmptn!W513</f>
        <v>-4.7249999999999996</v>
      </c>
      <c r="X209" s="52">
        <f>Asmptn!X513</f>
        <v>-4.7249999999999996</v>
      </c>
    </row>
    <row r="210" spans="3:24" collapsed="1">
      <c r="D210" s="27" t="s">
        <v>273</v>
      </c>
      <c r="L210" s="11">
        <f t="shared" ref="L210:X210" si="41">SUM(L209:L209)</f>
        <v>-1.2375</v>
      </c>
      <c r="M210" s="11">
        <f t="shared" si="41"/>
        <v>-1.7999999999999998</v>
      </c>
      <c r="N210" s="11">
        <f t="shared" si="41"/>
        <v>-1.7999999999999998</v>
      </c>
      <c r="O210" s="11">
        <f t="shared" si="41"/>
        <v>-1.7999999999999998</v>
      </c>
      <c r="P210" s="11">
        <f t="shared" si="41"/>
        <v>-2.4750000000000001</v>
      </c>
      <c r="Q210" s="11">
        <f t="shared" si="41"/>
        <v>-3.15</v>
      </c>
      <c r="R210" s="11">
        <f t="shared" si="41"/>
        <v>-3.15</v>
      </c>
      <c r="S210" s="11">
        <f t="shared" si="41"/>
        <v>-3.15</v>
      </c>
      <c r="T210" s="11">
        <f t="shared" si="41"/>
        <v>-3.9375</v>
      </c>
      <c r="U210" s="11">
        <f t="shared" si="41"/>
        <v>-4.7249999999999996</v>
      </c>
      <c r="V210" s="11">
        <f t="shared" si="41"/>
        <v>-4.7249999999999996</v>
      </c>
      <c r="W210" s="11">
        <f t="shared" si="41"/>
        <v>-4.7249999999999996</v>
      </c>
      <c r="X210" s="11">
        <f t="shared" si="41"/>
        <v>-4.7249999999999996</v>
      </c>
    </row>
    <row r="211" spans="3:24" hidden="1" outlineLevel="1"/>
    <row r="212" spans="3:24" collapsed="1">
      <c r="D212" s="28" t="str">
        <f>Asmptn!D537</f>
        <v>Tax Paid</v>
      </c>
      <c r="L212" s="11">
        <f>Asmptn!L537</f>
        <v>-2.2000000000000002</v>
      </c>
      <c r="M212" s="11">
        <f ca="1">Asmptn!M537</f>
        <v>-9.9787500000000051</v>
      </c>
      <c r="N212" s="11">
        <f ca="1">Asmptn!N537</f>
        <v>-11.148750000000007</v>
      </c>
      <c r="O212" s="11">
        <f ca="1">Asmptn!O537</f>
        <v>-9.9739687500000063</v>
      </c>
      <c r="P212" s="11">
        <f ca="1">Asmptn!P537</f>
        <v>-9.3021679687500143</v>
      </c>
      <c r="Q212" s="11">
        <f ca="1">Asmptn!Q537</f>
        <v>-14.64881340796877</v>
      </c>
      <c r="R212" s="11">
        <f ca="1">Asmptn!R537</f>
        <v>-16.635954512167991</v>
      </c>
      <c r="S212" s="11">
        <f ca="1">Asmptn!S537</f>
        <v>-18.487365821312189</v>
      </c>
      <c r="T212" s="11">
        <f ca="1">Asmptn!T537</f>
        <v>-26.623701195217503</v>
      </c>
      <c r="U212" s="11">
        <f ca="1">Asmptn!U537</f>
        <v>-27.033912038951076</v>
      </c>
      <c r="V212" s="11">
        <f ca="1">Asmptn!V537</f>
        <v>-28.381680818283147</v>
      </c>
      <c r="W212" s="11">
        <f ca="1">Asmptn!W537</f>
        <v>-35.133121274361216</v>
      </c>
      <c r="X212" s="11">
        <f ca="1">Asmptn!X537</f>
        <v>-42.88449687819837</v>
      </c>
    </row>
    <row r="213" spans="3:24" hidden="1" outlineLevel="1"/>
    <row r="214" spans="3:24" collapsed="1">
      <c r="D214" s="27" t="s">
        <v>82</v>
      </c>
      <c r="L214" s="18">
        <f t="shared" ref="L214:X214" si="42">L192+L203+L207+L210+L212</f>
        <v>-70.827910958904098</v>
      </c>
      <c r="M214" s="18">
        <f t="shared" ca="1" si="42"/>
        <v>-86.563510273972597</v>
      </c>
      <c r="N214" s="18">
        <f t="shared" ca="1" si="42"/>
        <v>-100.30312928082192</v>
      </c>
      <c r="O214" s="18">
        <f t="shared" ca="1" si="42"/>
        <v>-110.76695320044071</v>
      </c>
      <c r="P214" s="18">
        <f t="shared" ca="1" si="42"/>
        <v>-102.35974201306524</v>
      </c>
      <c r="Q214" s="18" t="e">
        <f t="shared" ca="1" si="42"/>
        <v>#VALUE!</v>
      </c>
      <c r="R214" s="18">
        <f t="shared" ca="1" si="42"/>
        <v>-119.82114793050962</v>
      </c>
      <c r="S214" s="18">
        <f t="shared" ca="1" si="42"/>
        <v>-107.48127274852379</v>
      </c>
      <c r="T214" s="18">
        <f t="shared" ca="1" si="42"/>
        <v>-128.15971760695118</v>
      </c>
      <c r="U214" s="18">
        <f t="shared" ca="1" si="42"/>
        <v>-139.25604587622485</v>
      </c>
      <c r="V214" s="18">
        <f t="shared" ca="1" si="42"/>
        <v>-134.51624300148873</v>
      </c>
      <c r="W214" s="18">
        <f t="shared" ca="1" si="42"/>
        <v>-133.26416474410507</v>
      </c>
      <c r="X214" s="18">
        <f t="shared" ca="1" si="42"/>
        <v>-158.95230091497061</v>
      </c>
    </row>
    <row r="216" spans="3:24">
      <c r="D216" s="26" t="str">
        <f>"Net "&amp;C165</f>
        <v>Net Operating Cash Flow</v>
      </c>
      <c r="L216" s="61">
        <f t="shared" ref="L216:X216" si="43">L181+L214</f>
        <v>120.95291095890413</v>
      </c>
      <c r="M216" s="61">
        <f t="shared" ca="1" si="43"/>
        <v>20.778955479452065</v>
      </c>
      <c r="N216" s="61">
        <f t="shared" ca="1" si="43"/>
        <v>15.645089897260291</v>
      </c>
      <c r="O216" s="61">
        <f t="shared" ca="1" si="43"/>
        <v>14.526720278113103</v>
      </c>
      <c r="P216" s="61">
        <f t="shared" ca="1" si="43"/>
        <v>32.966342639887841</v>
      </c>
      <c r="Q216" s="61" t="e">
        <f t="shared" ca="1" si="43"/>
        <v>#VALUE!</v>
      </c>
      <c r="R216" s="61">
        <f t="shared" ca="1" si="43"/>
        <v>38.295571028019197</v>
      </c>
      <c r="S216" s="61">
        <f t="shared" ca="1" si="43"/>
        <v>63.496582579109543</v>
      </c>
      <c r="T216" s="61">
        <f t="shared" ca="1" si="43"/>
        <v>56.634730685029893</v>
      </c>
      <c r="U216" s="61">
        <f t="shared" ca="1" si="43"/>
        <v>60.634148101575676</v>
      </c>
      <c r="V216" s="61">
        <f t="shared" ca="1" si="43"/>
        <v>81.694366604604085</v>
      </c>
      <c r="W216" s="61">
        <f t="shared" ca="1" si="43"/>
        <v>100.69183253819554</v>
      </c>
      <c r="X216" s="61">
        <f t="shared" ca="1" si="43"/>
        <v>94.081044769704164</v>
      </c>
    </row>
    <row r="218" spans="3:24">
      <c r="C218" s="25" t="s">
        <v>274</v>
      </c>
    </row>
    <row r="220" spans="3:24" hidden="1" outlineLevel="1">
      <c r="D220" s="28" t="str">
        <f>Asmptn!D471</f>
        <v>Asset Class # 1</v>
      </c>
      <c r="L220" s="52">
        <f>-Asmptn!L471</f>
        <v>-25</v>
      </c>
      <c r="M220" s="52">
        <f>-Asmptn!M471</f>
        <v>0</v>
      </c>
      <c r="N220" s="52">
        <f>-Asmptn!N471</f>
        <v>0</v>
      </c>
      <c r="O220" s="52">
        <f>-Asmptn!O471</f>
        <v>0</v>
      </c>
      <c r="P220" s="52">
        <f>-Asmptn!P471</f>
        <v>-30</v>
      </c>
      <c r="Q220" s="52">
        <f>-Asmptn!Q471</f>
        <v>0</v>
      </c>
      <c r="R220" s="52">
        <f>-Asmptn!R471</f>
        <v>0</v>
      </c>
      <c r="S220" s="52">
        <f>-Asmptn!S471</f>
        <v>0</v>
      </c>
      <c r="T220" s="52">
        <f>-Asmptn!T471</f>
        <v>-35</v>
      </c>
      <c r="U220" s="52">
        <f>-Asmptn!U471</f>
        <v>0</v>
      </c>
      <c r="V220" s="52">
        <f>-Asmptn!V471</f>
        <v>0</v>
      </c>
      <c r="W220" s="52">
        <f>-Asmptn!W471</f>
        <v>0</v>
      </c>
      <c r="X220" s="52">
        <f>-Asmptn!X471</f>
        <v>0</v>
      </c>
    </row>
    <row r="221" spans="3:24" collapsed="1">
      <c r="D221" s="27" t="s">
        <v>275</v>
      </c>
      <c r="L221" s="11">
        <f t="shared" ref="L221:X221" si="44">SUM(L220:L220)</f>
        <v>-25</v>
      </c>
      <c r="M221" s="11">
        <f t="shared" si="44"/>
        <v>0</v>
      </c>
      <c r="N221" s="11">
        <f t="shared" si="44"/>
        <v>0</v>
      </c>
      <c r="O221" s="11">
        <f t="shared" si="44"/>
        <v>0</v>
      </c>
      <c r="P221" s="11">
        <f t="shared" si="44"/>
        <v>-30</v>
      </c>
      <c r="Q221" s="11">
        <f t="shared" si="44"/>
        <v>0</v>
      </c>
      <c r="R221" s="11">
        <f t="shared" si="44"/>
        <v>0</v>
      </c>
      <c r="S221" s="11">
        <f t="shared" si="44"/>
        <v>0</v>
      </c>
      <c r="T221" s="11">
        <f t="shared" si="44"/>
        <v>-35</v>
      </c>
      <c r="U221" s="11">
        <f t="shared" si="44"/>
        <v>0</v>
      </c>
      <c r="V221" s="11">
        <f t="shared" si="44"/>
        <v>0</v>
      </c>
      <c r="W221" s="11">
        <f t="shared" si="44"/>
        <v>0</v>
      </c>
      <c r="X221" s="11">
        <f t="shared" si="44"/>
        <v>0</v>
      </c>
    </row>
    <row r="222" spans="3:24" hidden="1" outlineLevel="1"/>
    <row r="223" spans="3:24" collapsed="1">
      <c r="D223" s="26" t="str">
        <f>"Net "&amp;C218</f>
        <v>Net Investing Cash Flow</v>
      </c>
      <c r="L223" s="61">
        <f>L221</f>
        <v>-25</v>
      </c>
      <c r="M223" s="61">
        <f t="shared" ref="M223:X223" si="45">M221</f>
        <v>0</v>
      </c>
      <c r="N223" s="61">
        <f t="shared" si="45"/>
        <v>0</v>
      </c>
      <c r="O223" s="61">
        <f t="shared" si="45"/>
        <v>0</v>
      </c>
      <c r="P223" s="61">
        <f t="shared" si="45"/>
        <v>-30</v>
      </c>
      <c r="Q223" s="61">
        <f t="shared" si="45"/>
        <v>0</v>
      </c>
      <c r="R223" s="61">
        <f t="shared" si="45"/>
        <v>0</v>
      </c>
      <c r="S223" s="61">
        <f t="shared" si="45"/>
        <v>0</v>
      </c>
      <c r="T223" s="61">
        <f t="shared" si="45"/>
        <v>-35</v>
      </c>
      <c r="U223" s="61">
        <f t="shared" si="45"/>
        <v>0</v>
      </c>
      <c r="V223" s="61">
        <f t="shared" si="45"/>
        <v>0</v>
      </c>
      <c r="W223" s="61">
        <f t="shared" si="45"/>
        <v>0</v>
      </c>
      <c r="X223" s="61">
        <f t="shared" si="45"/>
        <v>0</v>
      </c>
    </row>
    <row r="225" spans="3:24">
      <c r="C225" s="25" t="s">
        <v>276</v>
      </c>
    </row>
    <row r="227" spans="3:24" hidden="1" outlineLevel="1">
      <c r="D227" s="28" t="str">
        <f>Asmptn!D491</f>
        <v>Debt Category 1</v>
      </c>
      <c r="L227" s="52">
        <f>Asmptn!L491</f>
        <v>25</v>
      </c>
      <c r="M227" s="52">
        <f>Asmptn!M491</f>
        <v>0</v>
      </c>
      <c r="N227" s="52">
        <f>Asmptn!N491</f>
        <v>0</v>
      </c>
      <c r="O227" s="52">
        <f>Asmptn!O491</f>
        <v>0</v>
      </c>
      <c r="P227" s="52">
        <f>Asmptn!P491</f>
        <v>30</v>
      </c>
      <c r="Q227" s="52">
        <f>Asmptn!Q491</f>
        <v>0</v>
      </c>
      <c r="R227" s="52">
        <f>Asmptn!R491</f>
        <v>0</v>
      </c>
      <c r="S227" s="52">
        <f>Asmptn!S491</f>
        <v>0</v>
      </c>
      <c r="T227" s="52">
        <f>Asmptn!T491</f>
        <v>35</v>
      </c>
      <c r="U227" s="52">
        <f>Asmptn!U491</f>
        <v>0</v>
      </c>
      <c r="V227" s="52">
        <f>Asmptn!V491</f>
        <v>0</v>
      </c>
      <c r="W227" s="52">
        <f>Asmptn!W491</f>
        <v>0</v>
      </c>
      <c r="X227" s="52">
        <f>Asmptn!X491</f>
        <v>0</v>
      </c>
    </row>
    <row r="228" spans="3:24" collapsed="1">
      <c r="D228" s="27" t="s">
        <v>277</v>
      </c>
      <c r="L228" s="11">
        <f t="shared" ref="L228:X228" si="46">SUM(L227:L227)</f>
        <v>25</v>
      </c>
      <c r="M228" s="11">
        <f t="shared" si="46"/>
        <v>0</v>
      </c>
      <c r="N228" s="11">
        <f t="shared" si="46"/>
        <v>0</v>
      </c>
      <c r="O228" s="11">
        <f t="shared" si="46"/>
        <v>0</v>
      </c>
      <c r="P228" s="11">
        <f t="shared" si="46"/>
        <v>30</v>
      </c>
      <c r="Q228" s="11">
        <f t="shared" si="46"/>
        <v>0</v>
      </c>
      <c r="R228" s="11">
        <f t="shared" si="46"/>
        <v>0</v>
      </c>
      <c r="S228" s="11">
        <f t="shared" si="46"/>
        <v>0</v>
      </c>
      <c r="T228" s="11">
        <f t="shared" si="46"/>
        <v>35</v>
      </c>
      <c r="U228" s="11">
        <f t="shared" si="46"/>
        <v>0</v>
      </c>
      <c r="V228" s="11">
        <f t="shared" si="46"/>
        <v>0</v>
      </c>
      <c r="W228" s="11">
        <f t="shared" si="46"/>
        <v>0</v>
      </c>
      <c r="X228" s="11">
        <f t="shared" si="46"/>
        <v>0</v>
      </c>
    </row>
    <row r="229" spans="3:24" hidden="1" outlineLevel="1"/>
    <row r="230" spans="3:24" hidden="1" outlineLevel="1">
      <c r="D230" s="28" t="str">
        <f>Asmptn!D495</f>
        <v>Debt Category 1</v>
      </c>
      <c r="L230" s="52">
        <f>-Asmptn!L495</f>
        <v>0</v>
      </c>
      <c r="M230" s="52">
        <f>-Asmptn!M495</f>
        <v>0</v>
      </c>
      <c r="N230" s="52">
        <f>-Asmptn!N495</f>
        <v>0</v>
      </c>
      <c r="O230" s="52">
        <f>-Asmptn!O495</f>
        <v>0</v>
      </c>
      <c r="P230" s="52">
        <f>-Asmptn!P495</f>
        <v>0</v>
      </c>
      <c r="Q230" s="52">
        <f>-Asmptn!Q495</f>
        <v>0</v>
      </c>
      <c r="R230" s="52">
        <f>-Asmptn!R495</f>
        <v>0</v>
      </c>
      <c r="S230" s="52">
        <f>-Asmptn!S495</f>
        <v>0</v>
      </c>
      <c r="T230" s="52">
        <f>-Asmptn!T495</f>
        <v>0</v>
      </c>
      <c r="U230" s="52">
        <f>-Asmptn!U495</f>
        <v>0</v>
      </c>
      <c r="V230" s="52">
        <f>-Asmptn!V495</f>
        <v>0</v>
      </c>
      <c r="W230" s="52">
        <f>-Asmptn!W495</f>
        <v>0</v>
      </c>
      <c r="X230" s="52">
        <f>-Asmptn!X495</f>
        <v>0</v>
      </c>
    </row>
    <row r="231" spans="3:24" collapsed="1">
      <c r="D231" s="27" t="s">
        <v>278</v>
      </c>
      <c r="L231" s="11">
        <f t="shared" ref="L231:X231" si="47">SUM(L230:L230)</f>
        <v>0</v>
      </c>
      <c r="M231" s="11">
        <f t="shared" si="47"/>
        <v>0</v>
      </c>
      <c r="N231" s="11">
        <f t="shared" si="47"/>
        <v>0</v>
      </c>
      <c r="O231" s="11">
        <f t="shared" si="47"/>
        <v>0</v>
      </c>
      <c r="P231" s="11">
        <f t="shared" si="47"/>
        <v>0</v>
      </c>
      <c r="Q231" s="11">
        <f t="shared" si="47"/>
        <v>0</v>
      </c>
      <c r="R231" s="11">
        <f t="shared" si="47"/>
        <v>0</v>
      </c>
      <c r="S231" s="11">
        <f t="shared" si="47"/>
        <v>0</v>
      </c>
      <c r="T231" s="11">
        <f t="shared" si="47"/>
        <v>0</v>
      </c>
      <c r="U231" s="11">
        <f t="shared" si="47"/>
        <v>0</v>
      </c>
      <c r="V231" s="11">
        <f t="shared" si="47"/>
        <v>0</v>
      </c>
      <c r="W231" s="11">
        <f t="shared" si="47"/>
        <v>0</v>
      </c>
      <c r="X231" s="11">
        <f t="shared" si="47"/>
        <v>0</v>
      </c>
    </row>
    <row r="232" spans="3:24" hidden="1" outlineLevel="1"/>
    <row r="233" spans="3:24" collapsed="1">
      <c r="D233" s="28" t="str">
        <f>Asmptn!D524</f>
        <v>Ordinary Equity Raisings</v>
      </c>
      <c r="L233" s="11">
        <f>Asmptn!L524</f>
        <v>0</v>
      </c>
      <c r="M233" s="11">
        <f>Asmptn!M524</f>
        <v>0</v>
      </c>
      <c r="N233" s="11">
        <f>Asmptn!N524</f>
        <v>0</v>
      </c>
      <c r="O233" s="11">
        <f>Asmptn!O524</f>
        <v>0</v>
      </c>
      <c r="P233" s="11">
        <f>Asmptn!P524</f>
        <v>0</v>
      </c>
      <c r="Q233" s="11">
        <f>Asmptn!Q524</f>
        <v>0</v>
      </c>
      <c r="R233" s="11">
        <f>Asmptn!R524</f>
        <v>0</v>
      </c>
      <c r="S233" s="11">
        <f>Asmptn!S524</f>
        <v>0</v>
      </c>
      <c r="T233" s="11">
        <f>Asmptn!T524</f>
        <v>0</v>
      </c>
      <c r="U233" s="11">
        <f>Asmptn!U524</f>
        <v>0</v>
      </c>
      <c r="V233" s="11">
        <f>Asmptn!V524</f>
        <v>0</v>
      </c>
      <c r="W233" s="11">
        <f>Asmptn!W524</f>
        <v>0</v>
      </c>
      <c r="X233" s="11">
        <f>Asmptn!X524</f>
        <v>0</v>
      </c>
    </row>
    <row r="234" spans="3:24">
      <c r="D234" s="28" t="str">
        <f>Asmptn!D525</f>
        <v>Ordinary Equity Repayments</v>
      </c>
      <c r="L234" s="11">
        <f>Asmptn!L525</f>
        <v>0</v>
      </c>
      <c r="M234" s="11">
        <f>Asmptn!M525</f>
        <v>0</v>
      </c>
      <c r="N234" s="11">
        <f>Asmptn!N525</f>
        <v>0</v>
      </c>
      <c r="O234" s="11">
        <f>Asmptn!O525</f>
        <v>0</v>
      </c>
      <c r="P234" s="11">
        <f>Asmptn!P525</f>
        <v>0</v>
      </c>
      <c r="Q234" s="11">
        <f>Asmptn!Q525</f>
        <v>0</v>
      </c>
      <c r="R234" s="11">
        <f>Asmptn!R525</f>
        <v>0</v>
      </c>
      <c r="S234" s="11">
        <f>Asmptn!S525</f>
        <v>0</v>
      </c>
      <c r="T234" s="11">
        <f>Asmptn!T525</f>
        <v>0</v>
      </c>
      <c r="U234" s="11">
        <f>Asmptn!U525</f>
        <v>0</v>
      </c>
      <c r="V234" s="11">
        <f>Asmptn!V525</f>
        <v>0</v>
      </c>
      <c r="W234" s="11">
        <f>Asmptn!W525</f>
        <v>0</v>
      </c>
      <c r="X234" s="11">
        <f>Asmptn!X525</f>
        <v>0</v>
      </c>
    </row>
    <row r="235" spans="3:24">
      <c r="D235" s="28" t="str">
        <f>Asmptn!D531</f>
        <v>Dividends Paid</v>
      </c>
      <c r="L235" s="11">
        <f ca="1">Asmptn!L531</f>
        <v>-9.751687500000001</v>
      </c>
      <c r="M235" s="11">
        <f ca="1">Asmptn!M531</f>
        <v>-8.5335406250000005</v>
      </c>
      <c r="N235" s="11">
        <f ca="1">Asmptn!N531</f>
        <v>-8.6642432812500019</v>
      </c>
      <c r="O235" s="11">
        <f ca="1">Asmptn!O531</f>
        <v>-8.7100340468750037</v>
      </c>
      <c r="P235" s="11">
        <f ca="1">Asmptn!P531</f>
        <v>-9.3248105754609441</v>
      </c>
      <c r="Q235" s="11" t="e">
        <f ca="1">Asmptn!Q531</f>
        <v>#VALUE!</v>
      </c>
      <c r="R235" s="11" t="e">
        <f ca="1">Asmptn!R531</f>
        <v>#VALUE!</v>
      </c>
      <c r="S235" s="11" t="e">
        <f ca="1">Asmptn!S531</f>
        <v>#VALUE!</v>
      </c>
      <c r="T235" s="11" t="e">
        <f ca="1">Asmptn!T531</f>
        <v>#VALUE!</v>
      </c>
      <c r="U235" s="11" t="e">
        <f ca="1">Asmptn!U531</f>
        <v>#VALUE!</v>
      </c>
      <c r="V235" s="11" t="e">
        <f ca="1">Asmptn!V531</f>
        <v>#VALUE!</v>
      </c>
      <c r="W235" s="11" t="e">
        <f ca="1">Asmptn!W531</f>
        <v>#VALUE!</v>
      </c>
      <c r="X235" s="11" t="e">
        <f ca="1">Asmptn!X531</f>
        <v>#VALUE!</v>
      </c>
    </row>
    <row r="236" spans="3:24" hidden="1" outlineLevel="1"/>
    <row r="237" spans="3:24" collapsed="1">
      <c r="D237" s="26" t="str">
        <f>"Net "&amp;C225</f>
        <v>Net Financing Cash Flow</v>
      </c>
      <c r="L237" s="61">
        <f t="shared" ref="L237:X237" ca="1" si="48">L228+L231+L233+L234+L235</f>
        <v>15.248312499999999</v>
      </c>
      <c r="M237" s="61">
        <f t="shared" ca="1" si="48"/>
        <v>-8.5335406250000005</v>
      </c>
      <c r="N237" s="61">
        <f t="shared" ca="1" si="48"/>
        <v>-8.6642432812500019</v>
      </c>
      <c r="O237" s="61">
        <f t="shared" ca="1" si="48"/>
        <v>-8.7100340468750037</v>
      </c>
      <c r="P237" s="61">
        <f t="shared" ca="1" si="48"/>
        <v>20.675189424539056</v>
      </c>
      <c r="Q237" s="61" t="e">
        <f t="shared" ca="1" si="48"/>
        <v>#VALUE!</v>
      </c>
      <c r="R237" s="61" t="e">
        <f t="shared" ca="1" si="48"/>
        <v>#VALUE!</v>
      </c>
      <c r="S237" s="61" t="e">
        <f t="shared" ca="1" si="48"/>
        <v>#VALUE!</v>
      </c>
      <c r="T237" s="61" t="e">
        <f t="shared" ca="1" si="48"/>
        <v>#VALUE!</v>
      </c>
      <c r="U237" s="61" t="e">
        <f t="shared" ca="1" si="48"/>
        <v>#VALUE!</v>
      </c>
      <c r="V237" s="61" t="e">
        <f t="shared" ca="1" si="48"/>
        <v>#VALUE!</v>
      </c>
      <c r="W237" s="61" t="e">
        <f t="shared" ca="1" si="48"/>
        <v>#VALUE!</v>
      </c>
      <c r="X237" s="61" t="e">
        <f t="shared" ca="1" si="48"/>
        <v>#VALUE!</v>
      </c>
    </row>
    <row r="239" spans="3:24" ht="12" thickBot="1">
      <c r="C239" s="25" t="s">
        <v>145</v>
      </c>
      <c r="L239" s="58">
        <f t="shared" ref="L239:X239" ca="1" si="49">L216+L223+L237</f>
        <v>111.20122345890412</v>
      </c>
      <c r="M239" s="58">
        <f t="shared" ca="1" si="49"/>
        <v>12.245414854452065</v>
      </c>
      <c r="N239" s="58">
        <f t="shared" ca="1" si="49"/>
        <v>6.9808466160102896</v>
      </c>
      <c r="O239" s="58">
        <f t="shared" ca="1" si="49"/>
        <v>5.8166862312380996</v>
      </c>
      <c r="P239" s="58">
        <f t="shared" ca="1" si="49"/>
        <v>23.641532064426897</v>
      </c>
      <c r="Q239" s="58" t="e">
        <f t="shared" ca="1" si="49"/>
        <v>#VALUE!</v>
      </c>
      <c r="R239" s="58" t="e">
        <f t="shared" ca="1" si="49"/>
        <v>#VALUE!</v>
      </c>
      <c r="S239" s="58" t="e">
        <f t="shared" ca="1" si="49"/>
        <v>#VALUE!</v>
      </c>
      <c r="T239" s="58" t="e">
        <f t="shared" ca="1" si="49"/>
        <v>#VALUE!</v>
      </c>
      <c r="U239" s="58" t="e">
        <f t="shared" ca="1" si="49"/>
        <v>#VALUE!</v>
      </c>
      <c r="V239" s="58" t="e">
        <f t="shared" ca="1" si="49"/>
        <v>#VALUE!</v>
      </c>
      <c r="W239" s="58" t="e">
        <f t="shared" ca="1" si="49"/>
        <v>#VALUE!</v>
      </c>
      <c r="X239" s="58" t="e">
        <f t="shared" ca="1" si="49"/>
        <v>#VALUE!</v>
      </c>
    </row>
    <row r="240" spans="3:24" ht="12" thickTop="1"/>
    <row r="241" spans="3:24" s="29" customFormat="1" ht="12">
      <c r="C241" s="29" t="s">
        <v>279</v>
      </c>
    </row>
    <row r="243" spans="3:24">
      <c r="C243" s="26" t="str">
        <f>C165</f>
        <v>Operating Cash Flow</v>
      </c>
    </row>
    <row r="245" spans="3:24">
      <c r="D245" s="28" t="str">
        <f>C81</f>
        <v>NPAT</v>
      </c>
      <c r="L245" s="11">
        <f t="shared" ref="L245:X245" ca="1" si="50">L81</f>
        <v>14.833750000000009</v>
      </c>
      <c r="M245" s="11">
        <f t="shared" ca="1" si="50"/>
        <v>13.888750000000014</v>
      </c>
      <c r="N245" s="11">
        <f t="shared" ca="1" si="50"/>
        <v>11.147593750000015</v>
      </c>
      <c r="O245" s="11">
        <f t="shared" ca="1" si="50"/>
        <v>9.5800585937500333</v>
      </c>
      <c r="P245" s="11">
        <f t="shared" ca="1" si="50"/>
        <v>21.005564618593802</v>
      </c>
      <c r="Q245" s="11">
        <f t="shared" ca="1" si="50"/>
        <v>24.592227195058648</v>
      </c>
      <c r="R245" s="11">
        <f t="shared" ca="1" si="50"/>
        <v>28.912186916395108</v>
      </c>
      <c r="S245" s="11">
        <f t="shared" ca="1" si="50"/>
        <v>47.896969455507516</v>
      </c>
      <c r="T245" s="11">
        <f t="shared" ca="1" si="50"/>
        <v>52.004128090885843</v>
      </c>
      <c r="U245" s="11">
        <f t="shared" ca="1" si="50"/>
        <v>53.923921909327348</v>
      </c>
      <c r="V245" s="11">
        <f t="shared" ca="1" si="50"/>
        <v>70.552282973509506</v>
      </c>
      <c r="W245" s="11">
        <f t="shared" ca="1" si="50"/>
        <v>89.513826049129534</v>
      </c>
      <c r="X245" s="11">
        <f t="shared" ca="1" si="50"/>
        <v>90.416154821866513</v>
      </c>
    </row>
    <row r="246" spans="3:24">
      <c r="C246" s="81" t="s">
        <v>280</v>
      </c>
      <c r="D246" s="27" t="s">
        <v>147</v>
      </c>
      <c r="L246" s="11">
        <f t="shared" ref="L246:X246" ca="1" si="51">-L79</f>
        <v>8.9287500000000044</v>
      </c>
      <c r="M246" s="11">
        <f t="shared" ca="1" si="51"/>
        <v>8.523750000000005</v>
      </c>
      <c r="N246" s="11">
        <f t="shared" ca="1" si="51"/>
        <v>7.3489687500000063</v>
      </c>
      <c r="O246" s="11">
        <f t="shared" ca="1" si="51"/>
        <v>6.6771679687500143</v>
      </c>
      <c r="P246" s="11">
        <f t="shared" ca="1" si="51"/>
        <v>11.573813407968771</v>
      </c>
      <c r="Q246" s="11">
        <f t="shared" ca="1" si="51"/>
        <v>13.110954512167991</v>
      </c>
      <c r="R246" s="11">
        <f t="shared" ca="1" si="51"/>
        <v>14.962365821312188</v>
      </c>
      <c r="S246" s="11">
        <f t="shared" ca="1" si="51"/>
        <v>23.098701195217505</v>
      </c>
      <c r="T246" s="11">
        <f t="shared" ca="1" si="51"/>
        <v>24.858912038951075</v>
      </c>
      <c r="U246" s="11">
        <f t="shared" ca="1" si="51"/>
        <v>25.681680818283144</v>
      </c>
      <c r="V246" s="11">
        <f t="shared" ca="1" si="51"/>
        <v>32.808121274361213</v>
      </c>
      <c r="W246" s="11">
        <f t="shared" ca="1" si="51"/>
        <v>40.934496878198367</v>
      </c>
      <c r="X246" s="11">
        <f t="shared" ca="1" si="51"/>
        <v>41.321209209371368</v>
      </c>
    </row>
    <row r="247" spans="3:24">
      <c r="C247" s="81" t="s">
        <v>280</v>
      </c>
      <c r="D247" s="27" t="s">
        <v>281</v>
      </c>
      <c r="L247" s="11">
        <f t="shared" ref="L247:X247" si="52">-L75</f>
        <v>1.2375</v>
      </c>
      <c r="M247" s="11">
        <f t="shared" si="52"/>
        <v>1.7999999999999998</v>
      </c>
      <c r="N247" s="11">
        <f t="shared" si="52"/>
        <v>1.7999999999999998</v>
      </c>
      <c r="O247" s="11">
        <f t="shared" si="52"/>
        <v>1.7999999999999998</v>
      </c>
      <c r="P247" s="11">
        <f t="shared" si="52"/>
        <v>2.4750000000000001</v>
      </c>
      <c r="Q247" s="11">
        <f t="shared" si="52"/>
        <v>3.15</v>
      </c>
      <c r="R247" s="11">
        <f t="shared" si="52"/>
        <v>3.15</v>
      </c>
      <c r="S247" s="11">
        <f t="shared" si="52"/>
        <v>3.15</v>
      </c>
      <c r="T247" s="11">
        <f t="shared" si="52"/>
        <v>3.9375</v>
      </c>
      <c r="U247" s="11">
        <f t="shared" si="52"/>
        <v>4.7249999999999996</v>
      </c>
      <c r="V247" s="11">
        <f t="shared" si="52"/>
        <v>4.7249999999999996</v>
      </c>
      <c r="W247" s="11">
        <f t="shared" si="52"/>
        <v>4.7249999999999996</v>
      </c>
      <c r="X247" s="11">
        <f t="shared" si="52"/>
        <v>4.7249999999999996</v>
      </c>
    </row>
    <row r="248" spans="3:24">
      <c r="C248" s="81" t="s">
        <v>280</v>
      </c>
      <c r="D248" s="27" t="s">
        <v>282</v>
      </c>
      <c r="L248" s="11">
        <f t="shared" ref="L248:X248" ca="1" si="53">-L68</f>
        <v>7.5</v>
      </c>
      <c r="M248" s="11">
        <f t="shared" ca="1" si="53"/>
        <v>8.75</v>
      </c>
      <c r="N248" s="11">
        <f t="shared" ca="1" si="53"/>
        <v>8.75</v>
      </c>
      <c r="O248" s="11">
        <f t="shared" ca="1" si="53"/>
        <v>8.75</v>
      </c>
      <c r="P248" s="11">
        <f t="shared" ca="1" si="53"/>
        <v>10.25</v>
      </c>
      <c r="Q248" s="11">
        <f t="shared" ca="1" si="53"/>
        <v>11.75</v>
      </c>
      <c r="R248" s="11">
        <f t="shared" ca="1" si="53"/>
        <v>11.75</v>
      </c>
      <c r="S248" s="11">
        <f t="shared" ca="1" si="53"/>
        <v>11.75</v>
      </c>
      <c r="T248" s="11">
        <f t="shared" ca="1" si="53"/>
        <v>7.25</v>
      </c>
      <c r="U248" s="11">
        <f t="shared" ca="1" si="53"/>
        <v>9</v>
      </c>
      <c r="V248" s="11">
        <f t="shared" ca="1" si="53"/>
        <v>7.75</v>
      </c>
      <c r="W248" s="11">
        <f t="shared" ca="1" si="53"/>
        <v>6.5</v>
      </c>
      <c r="X248" s="11">
        <f t="shared" ca="1" si="53"/>
        <v>6.5</v>
      </c>
    </row>
    <row r="249" spans="3:24">
      <c r="D249" s="28" t="str">
        <f>D179</f>
        <v>∆ Operating Receivables</v>
      </c>
      <c r="L249" s="11">
        <f t="shared" ref="L249:X249" si="54">L179</f>
        <v>91.780821917808225</v>
      </c>
      <c r="M249" s="11">
        <f t="shared" si="54"/>
        <v>-0.6575342465753522</v>
      </c>
      <c r="N249" s="11">
        <f t="shared" si="54"/>
        <v>-0.71178082191779879</v>
      </c>
      <c r="O249" s="11">
        <f t="shared" si="54"/>
        <v>-0.74232652144621625</v>
      </c>
      <c r="P249" s="11">
        <f t="shared" si="54"/>
        <v>-0.8627861470469611</v>
      </c>
      <c r="Q249" s="11">
        <f t="shared" si="54"/>
        <v>-0.90377391780822336</v>
      </c>
      <c r="R249" s="11">
        <f t="shared" si="54"/>
        <v>-0.97897899927122012</v>
      </c>
      <c r="S249" s="11">
        <f t="shared" si="54"/>
        <v>-1.0219891736867339</v>
      </c>
      <c r="T249" s="11">
        <f t="shared" si="54"/>
        <v>-1.1878700347157576</v>
      </c>
      <c r="U249" s="11">
        <f t="shared" si="54"/>
        <v>-1.2454814015913769</v>
      </c>
      <c r="V249" s="11">
        <f t="shared" si="54"/>
        <v>-1.3499941098538102</v>
      </c>
      <c r="W249" s="11">
        <f t="shared" si="54"/>
        <v>-1.4106550998050977</v>
      </c>
      <c r="X249" s="11">
        <f t="shared" si="54"/>
        <v>-1.6396810377103748</v>
      </c>
    </row>
    <row r="250" spans="3:24">
      <c r="D250" s="28" t="str">
        <f>D207</f>
        <v>∆ Operating Payables</v>
      </c>
      <c r="L250" s="11">
        <f t="shared" ref="L250:X250" si="55">L207</f>
        <v>0.1095890410958873</v>
      </c>
      <c r="M250" s="11">
        <f t="shared" si="55"/>
        <v>0.25273972602740002</v>
      </c>
      <c r="N250" s="11">
        <f t="shared" si="55"/>
        <v>0.25905821917807259</v>
      </c>
      <c r="O250" s="11">
        <f t="shared" si="55"/>
        <v>0.23578898705927998</v>
      </c>
      <c r="P250" s="11">
        <f t="shared" si="55"/>
        <v>0.30191872912223516</v>
      </c>
      <c r="Q250" s="11" t="e">
        <f t="shared" si="55"/>
        <v>#VALUE!</v>
      </c>
      <c r="R250" s="11">
        <f t="shared" si="55"/>
        <v>0.28595180175112489</v>
      </c>
      <c r="S250" s="11">
        <f t="shared" si="55"/>
        <v>0.26026692338344048</v>
      </c>
      <c r="T250" s="11">
        <f t="shared" si="55"/>
        <v>0.33326178512623983</v>
      </c>
      <c r="U250" s="11">
        <f t="shared" si="55"/>
        <v>0.30793881450763649</v>
      </c>
      <c r="V250" s="11">
        <f t="shared" si="55"/>
        <v>0.31563728487033416</v>
      </c>
      <c r="W250" s="11">
        <f t="shared" si="55"/>
        <v>0.28728598503396086</v>
      </c>
      <c r="X250" s="11">
        <f t="shared" si="55"/>
        <v>0.36785865437502707</v>
      </c>
    </row>
    <row r="251" spans="3:24">
      <c r="D251" s="28" t="str">
        <f>D210</f>
        <v>Total Interest Paid</v>
      </c>
      <c r="L251" s="11">
        <f t="shared" ref="L251:X251" si="56">L210</f>
        <v>-1.2375</v>
      </c>
      <c r="M251" s="11">
        <f t="shared" si="56"/>
        <v>-1.7999999999999998</v>
      </c>
      <c r="N251" s="11">
        <f t="shared" si="56"/>
        <v>-1.7999999999999998</v>
      </c>
      <c r="O251" s="11">
        <f t="shared" si="56"/>
        <v>-1.7999999999999998</v>
      </c>
      <c r="P251" s="11">
        <f t="shared" si="56"/>
        <v>-2.4750000000000001</v>
      </c>
      <c r="Q251" s="11">
        <f t="shared" si="56"/>
        <v>-3.15</v>
      </c>
      <c r="R251" s="11">
        <f t="shared" si="56"/>
        <v>-3.15</v>
      </c>
      <c r="S251" s="11">
        <f t="shared" si="56"/>
        <v>-3.15</v>
      </c>
      <c r="T251" s="11">
        <f t="shared" si="56"/>
        <v>-3.9375</v>
      </c>
      <c r="U251" s="11">
        <f t="shared" si="56"/>
        <v>-4.7249999999999996</v>
      </c>
      <c r="V251" s="11">
        <f t="shared" si="56"/>
        <v>-4.7249999999999996</v>
      </c>
      <c r="W251" s="11">
        <f t="shared" si="56"/>
        <v>-4.7249999999999996</v>
      </c>
      <c r="X251" s="11">
        <f t="shared" si="56"/>
        <v>-4.7249999999999996</v>
      </c>
    </row>
    <row r="252" spans="3:24">
      <c r="D252" s="28" t="str">
        <f>D212</f>
        <v>Tax Paid</v>
      </c>
      <c r="L252" s="11">
        <f t="shared" ref="L252:X252" si="57">L212</f>
        <v>-2.2000000000000002</v>
      </c>
      <c r="M252" s="11">
        <f t="shared" ca="1" si="57"/>
        <v>-9.9787500000000051</v>
      </c>
      <c r="N252" s="11">
        <f t="shared" ca="1" si="57"/>
        <v>-11.148750000000007</v>
      </c>
      <c r="O252" s="11">
        <f t="shared" ca="1" si="57"/>
        <v>-9.9739687500000063</v>
      </c>
      <c r="P252" s="11">
        <f t="shared" ca="1" si="57"/>
        <v>-9.3021679687500143</v>
      </c>
      <c r="Q252" s="11">
        <f t="shared" ca="1" si="57"/>
        <v>-14.64881340796877</v>
      </c>
      <c r="R252" s="11">
        <f t="shared" ca="1" si="57"/>
        <v>-16.635954512167991</v>
      </c>
      <c r="S252" s="11">
        <f t="shared" ca="1" si="57"/>
        <v>-18.487365821312189</v>
      </c>
      <c r="T252" s="11">
        <f t="shared" ca="1" si="57"/>
        <v>-26.623701195217503</v>
      </c>
      <c r="U252" s="11">
        <f t="shared" ca="1" si="57"/>
        <v>-27.033912038951076</v>
      </c>
      <c r="V252" s="11">
        <f t="shared" ca="1" si="57"/>
        <v>-28.381680818283147</v>
      </c>
      <c r="W252" s="11">
        <f t="shared" ca="1" si="57"/>
        <v>-35.133121274361216</v>
      </c>
      <c r="X252" s="11">
        <f t="shared" ca="1" si="57"/>
        <v>-42.88449687819837</v>
      </c>
    </row>
    <row r="253" spans="3:24">
      <c r="D253" s="26" t="str">
        <f>D216</f>
        <v>Net Operating Cash Flow</v>
      </c>
      <c r="L253" s="61">
        <f t="shared" ref="L253:X253" ca="1" si="58">SUM(L245:L252)</f>
        <v>120.95291095890413</v>
      </c>
      <c r="M253" s="61">
        <f t="shared" ca="1" si="58"/>
        <v>20.778955479452062</v>
      </c>
      <c r="N253" s="61">
        <f t="shared" ca="1" si="58"/>
        <v>15.645089897260288</v>
      </c>
      <c r="O253" s="61">
        <f t="shared" ca="1" si="58"/>
        <v>14.526720278113105</v>
      </c>
      <c r="P253" s="61">
        <f t="shared" ca="1" si="58"/>
        <v>32.966342639887834</v>
      </c>
      <c r="Q253" s="61" t="e">
        <f t="shared" ca="1" si="58"/>
        <v>#VALUE!</v>
      </c>
      <c r="R253" s="61">
        <f t="shared" ca="1" si="58"/>
        <v>38.295571028019211</v>
      </c>
      <c r="S253" s="61">
        <f t="shared" ca="1" si="58"/>
        <v>63.496582579109536</v>
      </c>
      <c r="T253" s="61">
        <f t="shared" ca="1" si="58"/>
        <v>56.634730685029893</v>
      </c>
      <c r="U253" s="61">
        <f t="shared" ca="1" si="58"/>
        <v>60.634148101575676</v>
      </c>
      <c r="V253" s="61">
        <f t="shared" ca="1" si="58"/>
        <v>81.694366604604099</v>
      </c>
      <c r="W253" s="61">
        <f t="shared" ca="1" si="58"/>
        <v>100.69183253819553</v>
      </c>
      <c r="X253" s="61">
        <f t="shared" ca="1" si="58"/>
        <v>94.081044769704164</v>
      </c>
    </row>
    <row r="254" spans="3:24">
      <c r="L254" s="73"/>
      <c r="M254" s="73"/>
      <c r="N254" s="73"/>
      <c r="O254" s="73"/>
      <c r="P254" s="73"/>
      <c r="Q254" s="73"/>
      <c r="R254" s="73"/>
      <c r="S254" s="73"/>
      <c r="T254" s="73"/>
      <c r="U254" s="73"/>
      <c r="V254" s="73"/>
      <c r="W254" s="73"/>
      <c r="X254" s="73"/>
    </row>
    <row r="255" spans="3:24">
      <c r="C255" s="26" t="str">
        <f>C218</f>
        <v>Investing Cash Flow</v>
      </c>
    </row>
    <row r="257" spans="3:24">
      <c r="D257" s="28" t="str">
        <f>D221</f>
        <v>Total Book Assets Capex</v>
      </c>
      <c r="L257" s="11">
        <f t="shared" ref="L257:X257" si="59">L221</f>
        <v>-25</v>
      </c>
      <c r="M257" s="11">
        <f t="shared" si="59"/>
        <v>0</v>
      </c>
      <c r="N257" s="11">
        <f t="shared" si="59"/>
        <v>0</v>
      </c>
      <c r="O257" s="11">
        <f t="shared" si="59"/>
        <v>0</v>
      </c>
      <c r="P257" s="11">
        <f t="shared" si="59"/>
        <v>-30</v>
      </c>
      <c r="Q257" s="11">
        <f t="shared" si="59"/>
        <v>0</v>
      </c>
      <c r="R257" s="11">
        <f t="shared" si="59"/>
        <v>0</v>
      </c>
      <c r="S257" s="11">
        <f t="shared" si="59"/>
        <v>0</v>
      </c>
      <c r="T257" s="11">
        <f t="shared" si="59"/>
        <v>-35</v>
      </c>
      <c r="U257" s="11">
        <f t="shared" si="59"/>
        <v>0</v>
      </c>
      <c r="V257" s="11">
        <f t="shared" si="59"/>
        <v>0</v>
      </c>
      <c r="W257" s="11">
        <f t="shared" si="59"/>
        <v>0</v>
      </c>
      <c r="X257" s="11">
        <f t="shared" si="59"/>
        <v>0</v>
      </c>
    </row>
    <row r="258" spans="3:24">
      <c r="D258" s="26" t="str">
        <f>D223</f>
        <v>Net Investing Cash Flow</v>
      </c>
      <c r="L258" s="61">
        <f t="shared" ref="L258:X258" si="60">SUM(L257:L257)</f>
        <v>-25</v>
      </c>
      <c r="M258" s="61">
        <f t="shared" si="60"/>
        <v>0</v>
      </c>
      <c r="N258" s="61">
        <f t="shared" si="60"/>
        <v>0</v>
      </c>
      <c r="O258" s="61">
        <f t="shared" si="60"/>
        <v>0</v>
      </c>
      <c r="P258" s="61">
        <f t="shared" si="60"/>
        <v>-30</v>
      </c>
      <c r="Q258" s="61">
        <f t="shared" si="60"/>
        <v>0</v>
      </c>
      <c r="R258" s="61">
        <f t="shared" si="60"/>
        <v>0</v>
      </c>
      <c r="S258" s="61">
        <f t="shared" si="60"/>
        <v>0</v>
      </c>
      <c r="T258" s="61">
        <f t="shared" si="60"/>
        <v>-35</v>
      </c>
      <c r="U258" s="61">
        <f t="shared" si="60"/>
        <v>0</v>
      </c>
      <c r="V258" s="61">
        <f t="shared" si="60"/>
        <v>0</v>
      </c>
      <c r="W258" s="61">
        <f t="shared" si="60"/>
        <v>0</v>
      </c>
      <c r="X258" s="61">
        <f t="shared" si="60"/>
        <v>0</v>
      </c>
    </row>
    <row r="260" spans="3:24">
      <c r="C260" s="26" t="str">
        <f>C225</f>
        <v>Financing Cash Flow</v>
      </c>
    </row>
    <row r="262" spans="3:24">
      <c r="D262" s="28" t="str">
        <f>D228</f>
        <v>Total Debt Drawdowns</v>
      </c>
      <c r="L262" s="11">
        <f t="shared" ref="L262:X262" si="61">L228</f>
        <v>25</v>
      </c>
      <c r="M262" s="11">
        <f t="shared" si="61"/>
        <v>0</v>
      </c>
      <c r="N262" s="11">
        <f t="shared" si="61"/>
        <v>0</v>
      </c>
      <c r="O262" s="11">
        <f t="shared" si="61"/>
        <v>0</v>
      </c>
      <c r="P262" s="11">
        <f t="shared" si="61"/>
        <v>30</v>
      </c>
      <c r="Q262" s="11">
        <f t="shared" si="61"/>
        <v>0</v>
      </c>
      <c r="R262" s="11">
        <f t="shared" si="61"/>
        <v>0</v>
      </c>
      <c r="S262" s="11">
        <f t="shared" si="61"/>
        <v>0</v>
      </c>
      <c r="T262" s="11">
        <f t="shared" si="61"/>
        <v>35</v>
      </c>
      <c r="U262" s="11">
        <f t="shared" si="61"/>
        <v>0</v>
      </c>
      <c r="V262" s="11">
        <f t="shared" si="61"/>
        <v>0</v>
      </c>
      <c r="W262" s="11">
        <f t="shared" si="61"/>
        <v>0</v>
      </c>
      <c r="X262" s="11">
        <f t="shared" si="61"/>
        <v>0</v>
      </c>
    </row>
    <row r="263" spans="3:24">
      <c r="D263" s="28" t="str">
        <f>D231</f>
        <v>Total Debt Repayments</v>
      </c>
      <c r="L263" s="11">
        <f t="shared" ref="L263:X263" si="62">L231</f>
        <v>0</v>
      </c>
      <c r="M263" s="11">
        <f t="shared" si="62"/>
        <v>0</v>
      </c>
      <c r="N263" s="11">
        <f t="shared" si="62"/>
        <v>0</v>
      </c>
      <c r="O263" s="11">
        <f t="shared" si="62"/>
        <v>0</v>
      </c>
      <c r="P263" s="11">
        <f t="shared" si="62"/>
        <v>0</v>
      </c>
      <c r="Q263" s="11">
        <f t="shared" si="62"/>
        <v>0</v>
      </c>
      <c r="R263" s="11">
        <f t="shared" si="62"/>
        <v>0</v>
      </c>
      <c r="S263" s="11">
        <f t="shared" si="62"/>
        <v>0</v>
      </c>
      <c r="T263" s="11">
        <f t="shared" si="62"/>
        <v>0</v>
      </c>
      <c r="U263" s="11">
        <f t="shared" si="62"/>
        <v>0</v>
      </c>
      <c r="V263" s="11">
        <f t="shared" si="62"/>
        <v>0</v>
      </c>
      <c r="W263" s="11">
        <f t="shared" si="62"/>
        <v>0</v>
      </c>
      <c r="X263" s="11">
        <f t="shared" si="62"/>
        <v>0</v>
      </c>
    </row>
    <row r="264" spans="3:24">
      <c r="D264" s="28" t="str">
        <f>D233</f>
        <v>Ordinary Equity Raisings</v>
      </c>
      <c r="L264" s="11">
        <f t="shared" ref="L264:X264" si="63">L233</f>
        <v>0</v>
      </c>
      <c r="M264" s="11">
        <f t="shared" si="63"/>
        <v>0</v>
      </c>
      <c r="N264" s="11">
        <f t="shared" si="63"/>
        <v>0</v>
      </c>
      <c r="O264" s="11">
        <f t="shared" si="63"/>
        <v>0</v>
      </c>
      <c r="P264" s="11">
        <f t="shared" si="63"/>
        <v>0</v>
      </c>
      <c r="Q264" s="11">
        <f t="shared" si="63"/>
        <v>0</v>
      </c>
      <c r="R264" s="11">
        <f t="shared" si="63"/>
        <v>0</v>
      </c>
      <c r="S264" s="11">
        <f t="shared" si="63"/>
        <v>0</v>
      </c>
      <c r="T264" s="11">
        <f t="shared" si="63"/>
        <v>0</v>
      </c>
      <c r="U264" s="11">
        <f t="shared" si="63"/>
        <v>0</v>
      </c>
      <c r="V264" s="11">
        <f t="shared" si="63"/>
        <v>0</v>
      </c>
      <c r="W264" s="11">
        <f t="shared" si="63"/>
        <v>0</v>
      </c>
      <c r="X264" s="11">
        <f t="shared" si="63"/>
        <v>0</v>
      </c>
    </row>
    <row r="265" spans="3:24">
      <c r="D265" s="28" t="str">
        <f>D234</f>
        <v>Ordinary Equity Repayments</v>
      </c>
      <c r="L265" s="11">
        <f t="shared" ref="L265:X265" si="64">L234</f>
        <v>0</v>
      </c>
      <c r="M265" s="11">
        <f t="shared" si="64"/>
        <v>0</v>
      </c>
      <c r="N265" s="11">
        <f t="shared" si="64"/>
        <v>0</v>
      </c>
      <c r="O265" s="11">
        <f t="shared" si="64"/>
        <v>0</v>
      </c>
      <c r="P265" s="11">
        <f t="shared" si="64"/>
        <v>0</v>
      </c>
      <c r="Q265" s="11">
        <f t="shared" si="64"/>
        <v>0</v>
      </c>
      <c r="R265" s="11">
        <f t="shared" si="64"/>
        <v>0</v>
      </c>
      <c r="S265" s="11">
        <f t="shared" si="64"/>
        <v>0</v>
      </c>
      <c r="T265" s="11">
        <f t="shared" si="64"/>
        <v>0</v>
      </c>
      <c r="U265" s="11">
        <f t="shared" si="64"/>
        <v>0</v>
      </c>
      <c r="V265" s="11">
        <f t="shared" si="64"/>
        <v>0</v>
      </c>
      <c r="W265" s="11">
        <f t="shared" si="64"/>
        <v>0</v>
      </c>
      <c r="X265" s="11">
        <f t="shared" si="64"/>
        <v>0</v>
      </c>
    </row>
    <row r="266" spans="3:24">
      <c r="D266" s="28" t="str">
        <f>D235</f>
        <v>Dividends Paid</v>
      </c>
      <c r="L266" s="11">
        <f t="shared" ref="L266:X266" ca="1" si="65">L235</f>
        <v>-9.751687500000001</v>
      </c>
      <c r="M266" s="11">
        <f t="shared" ca="1" si="65"/>
        <v>-8.5335406250000005</v>
      </c>
      <c r="N266" s="11">
        <f t="shared" ca="1" si="65"/>
        <v>-8.6642432812500019</v>
      </c>
      <c r="O266" s="11">
        <f t="shared" ca="1" si="65"/>
        <v>-8.7100340468750037</v>
      </c>
      <c r="P266" s="11">
        <f t="shared" ca="1" si="65"/>
        <v>-9.3248105754609441</v>
      </c>
      <c r="Q266" s="11" t="e">
        <f t="shared" ca="1" si="65"/>
        <v>#VALUE!</v>
      </c>
      <c r="R266" s="11" t="e">
        <f t="shared" ca="1" si="65"/>
        <v>#VALUE!</v>
      </c>
      <c r="S266" s="11" t="e">
        <f t="shared" ca="1" si="65"/>
        <v>#VALUE!</v>
      </c>
      <c r="T266" s="11" t="e">
        <f t="shared" ca="1" si="65"/>
        <v>#VALUE!</v>
      </c>
      <c r="U266" s="11" t="e">
        <f t="shared" ca="1" si="65"/>
        <v>#VALUE!</v>
      </c>
      <c r="V266" s="11" t="e">
        <f t="shared" ca="1" si="65"/>
        <v>#VALUE!</v>
      </c>
      <c r="W266" s="11" t="e">
        <f t="shared" ca="1" si="65"/>
        <v>#VALUE!</v>
      </c>
      <c r="X266" s="11" t="e">
        <f t="shared" ca="1" si="65"/>
        <v>#VALUE!</v>
      </c>
    </row>
    <row r="267" spans="3:24">
      <c r="D267" s="26" t="str">
        <f>D237</f>
        <v>Net Financing Cash Flow</v>
      </c>
      <c r="L267" s="61">
        <f ca="1">SUM(L262:L266)</f>
        <v>15.248312499999999</v>
      </c>
      <c r="M267" s="61">
        <f ca="1">SUM(M262:M266)</f>
        <v>-8.5335406250000005</v>
      </c>
      <c r="N267" s="61">
        <f t="shared" ref="N267:X267" ca="1" si="66">SUM(N262:N266)</f>
        <v>-8.6642432812500019</v>
      </c>
      <c r="O267" s="61">
        <f t="shared" ca="1" si="66"/>
        <v>-8.7100340468750037</v>
      </c>
      <c r="P267" s="61">
        <f t="shared" ca="1" si="66"/>
        <v>20.675189424539056</v>
      </c>
      <c r="Q267" s="61" t="e">
        <f t="shared" ca="1" si="66"/>
        <v>#VALUE!</v>
      </c>
      <c r="R267" s="61" t="e">
        <f t="shared" ca="1" si="66"/>
        <v>#VALUE!</v>
      </c>
      <c r="S267" s="61" t="e">
        <f t="shared" ca="1" si="66"/>
        <v>#VALUE!</v>
      </c>
      <c r="T267" s="61" t="e">
        <f t="shared" ca="1" si="66"/>
        <v>#VALUE!</v>
      </c>
      <c r="U267" s="61" t="e">
        <f t="shared" ca="1" si="66"/>
        <v>#VALUE!</v>
      </c>
      <c r="V267" s="61" t="e">
        <f t="shared" ca="1" si="66"/>
        <v>#VALUE!</v>
      </c>
      <c r="W267" s="61" t="e">
        <f t="shared" ca="1" si="66"/>
        <v>#VALUE!</v>
      </c>
      <c r="X267" s="61" t="e">
        <f t="shared" ca="1" si="66"/>
        <v>#VALUE!</v>
      </c>
    </row>
    <row r="269" spans="3:24" ht="12" thickBot="1">
      <c r="C269" s="26" t="str">
        <f>C239</f>
        <v>Net Change in Cash Flow</v>
      </c>
      <c r="L269" s="58">
        <f t="shared" ref="L269:X269" ca="1" si="67">L253+L258+L267</f>
        <v>111.20122345890412</v>
      </c>
      <c r="M269" s="58">
        <f t="shared" ca="1" si="67"/>
        <v>12.245414854452061</v>
      </c>
      <c r="N269" s="58">
        <f t="shared" ca="1" si="67"/>
        <v>6.980846616010286</v>
      </c>
      <c r="O269" s="58">
        <f t="shared" ca="1" si="67"/>
        <v>5.8166862312381014</v>
      </c>
      <c r="P269" s="58">
        <f t="shared" ca="1" si="67"/>
        <v>23.64153206442689</v>
      </c>
      <c r="Q269" s="58" t="e">
        <f t="shared" ca="1" si="67"/>
        <v>#VALUE!</v>
      </c>
      <c r="R269" s="58" t="e">
        <f t="shared" ca="1" si="67"/>
        <v>#VALUE!</v>
      </c>
      <c r="S269" s="58" t="e">
        <f t="shared" ca="1" si="67"/>
        <v>#VALUE!</v>
      </c>
      <c r="T269" s="58" t="e">
        <f t="shared" ca="1" si="67"/>
        <v>#VALUE!</v>
      </c>
      <c r="U269" s="58" t="e">
        <f t="shared" ca="1" si="67"/>
        <v>#VALUE!</v>
      </c>
      <c r="V269" s="58" t="e">
        <f t="shared" ca="1" si="67"/>
        <v>#VALUE!</v>
      </c>
      <c r="W269" s="58" t="e">
        <f t="shared" ca="1" si="67"/>
        <v>#VALUE!</v>
      </c>
      <c r="X269" s="58" t="e">
        <f t="shared" ca="1" si="67"/>
        <v>#VALUE!</v>
      </c>
    </row>
    <row r="270" spans="3:24" ht="12" thickTop="1"/>
    <row r="271" spans="3:24">
      <c r="C271" s="25" t="s">
        <v>264</v>
      </c>
      <c r="K271" s="25" t="s">
        <v>265</v>
      </c>
    </row>
    <row r="272" spans="3:24">
      <c r="C272" s="25"/>
      <c r="D272" s="27" t="s">
        <v>283</v>
      </c>
      <c r="K272" s="74">
        <f ca="1">COUNTIF(L272:X272,Error)</f>
        <v>0</v>
      </c>
      <c r="L272" s="63" t="str">
        <f t="shared" ref="L272:X272" ca="1" si="68">IF(ROUND(L269-L239,5)=0,Ok,Error)</f>
        <v>Ok</v>
      </c>
      <c r="M272" s="63" t="str">
        <f t="shared" ca="1" si="68"/>
        <v>Ok</v>
      </c>
      <c r="N272" s="63" t="str">
        <f t="shared" ca="1" si="68"/>
        <v>Ok</v>
      </c>
      <c r="O272" s="63" t="str">
        <f t="shared" ca="1" si="68"/>
        <v>Ok</v>
      </c>
      <c r="P272" s="63" t="str">
        <f t="shared" ca="1" si="68"/>
        <v>Ok</v>
      </c>
      <c r="Q272" s="63" t="e">
        <f t="shared" ca="1" si="68"/>
        <v>#VALUE!</v>
      </c>
      <c r="R272" s="63" t="e">
        <f t="shared" ca="1" si="68"/>
        <v>#VALUE!</v>
      </c>
      <c r="S272" s="63" t="e">
        <f t="shared" ca="1" si="68"/>
        <v>#VALUE!</v>
      </c>
      <c r="T272" s="63" t="e">
        <f t="shared" ca="1" si="68"/>
        <v>#VALUE!</v>
      </c>
      <c r="U272" s="63" t="e">
        <f t="shared" ca="1" si="68"/>
        <v>#VALUE!</v>
      </c>
      <c r="V272" s="63" t="e">
        <f t="shared" ca="1" si="68"/>
        <v>#VALUE!</v>
      </c>
      <c r="W272" s="63" t="e">
        <f t="shared" ca="1" si="68"/>
        <v>#VALUE!</v>
      </c>
      <c r="X272" s="63" t="e">
        <f t="shared" ca="1" si="68"/>
        <v>#VALUE!</v>
      </c>
    </row>
    <row r="274" spans="2:24" s="7" customFormat="1" ht="12.75">
      <c r="B274" s="7" t="s">
        <v>284</v>
      </c>
    </row>
    <row r="275" spans="2:24" ht="4.5" customHeight="1"/>
    <row r="276" spans="2:24" s="29" customFormat="1" ht="12">
      <c r="C276" s="29" t="s">
        <v>285</v>
      </c>
    </row>
    <row r="278" spans="2:24">
      <c r="C278" s="25" t="s">
        <v>286</v>
      </c>
    </row>
    <row r="280" spans="2:24">
      <c r="D280" s="27" t="s">
        <v>75</v>
      </c>
      <c r="L280" s="11">
        <f t="shared" ref="L280:X280" si="69">L37</f>
        <v>100</v>
      </c>
      <c r="M280" s="11">
        <f t="shared" si="69"/>
        <v>108.00000000000001</v>
      </c>
      <c r="N280" s="11">
        <f t="shared" si="69"/>
        <v>116.66000000000001</v>
      </c>
      <c r="O280" s="11">
        <f t="shared" si="69"/>
        <v>126.03600000000003</v>
      </c>
      <c r="P280" s="11">
        <f t="shared" si="69"/>
        <v>136.18887080000005</v>
      </c>
      <c r="Q280" s="11">
        <f t="shared" si="69"/>
        <v>147.18478680000004</v>
      </c>
      <c r="R280" s="11">
        <f t="shared" si="69"/>
        <v>159.09569795780004</v>
      </c>
      <c r="S280" s="11">
        <f t="shared" si="69"/>
        <v>171.99984450132007</v>
      </c>
      <c r="T280" s="11">
        <f t="shared" si="69"/>
        <v>185.98231832669683</v>
      </c>
      <c r="U280" s="11">
        <f t="shared" si="69"/>
        <v>201.1356753793919</v>
      </c>
      <c r="V280" s="11">
        <f t="shared" si="69"/>
        <v>217.56060371594663</v>
      </c>
      <c r="W280" s="11">
        <f t="shared" si="69"/>
        <v>235.36665238210571</v>
      </c>
      <c r="X280" s="11">
        <f t="shared" si="69"/>
        <v>254.67302672238515</v>
      </c>
    </row>
    <row r="281" spans="2:24">
      <c r="C281" s="81" t="s">
        <v>287</v>
      </c>
      <c r="D281" s="27" t="s">
        <v>288</v>
      </c>
      <c r="L281" s="11">
        <f t="shared" ref="L281:X281" si="70">L48</f>
        <v>-61.499999999999986</v>
      </c>
      <c r="M281" s="11">
        <f t="shared" si="70"/>
        <v>-63.037499999999994</v>
      </c>
      <c r="N281" s="11">
        <f t="shared" si="70"/>
        <v>-64.613437499999989</v>
      </c>
      <c r="O281" s="11">
        <f t="shared" si="70"/>
        <v>-66.228773437499981</v>
      </c>
      <c r="P281" s="11">
        <f t="shared" si="70"/>
        <v>-67.884492773437472</v>
      </c>
      <c r="Q281" s="11">
        <f t="shared" si="70"/>
        <v>-69.581605092773401</v>
      </c>
      <c r="R281" s="11">
        <f t="shared" si="70"/>
        <v>-71.321145220092745</v>
      </c>
      <c r="S281" s="11">
        <f t="shared" si="70"/>
        <v>-73.104173850595046</v>
      </c>
      <c r="T281" s="11">
        <f t="shared" si="70"/>
        <v>-74.931778196859909</v>
      </c>
      <c r="U281" s="11">
        <f t="shared" si="70"/>
        <v>-76.805072651781416</v>
      </c>
      <c r="V281" s="11">
        <f t="shared" si="70"/>
        <v>-78.725199468075928</v>
      </c>
      <c r="W281" s="11">
        <f t="shared" si="70"/>
        <v>-80.693329454777825</v>
      </c>
      <c r="X281" s="11">
        <f t="shared" si="70"/>
        <v>-82.710662691147263</v>
      </c>
    </row>
    <row r="282" spans="2:24">
      <c r="C282" s="81" t="s">
        <v>287</v>
      </c>
      <c r="D282" s="27" t="s">
        <v>50</v>
      </c>
      <c r="L282" s="11">
        <f t="shared" ref="L282:X282" si="71">L61</f>
        <v>-6</v>
      </c>
      <c r="M282" s="11">
        <f t="shared" si="71"/>
        <v>-12</v>
      </c>
      <c r="N282" s="11">
        <f t="shared" si="71"/>
        <v>-23</v>
      </c>
      <c r="O282" s="11">
        <f t="shared" si="71"/>
        <v>-33</v>
      </c>
      <c r="P282" s="11">
        <f t="shared" si="71"/>
        <v>-23</v>
      </c>
      <c r="Q282" s="11">
        <f t="shared" si="71"/>
        <v>-25</v>
      </c>
      <c r="R282" s="11">
        <f t="shared" si="71"/>
        <v>-29</v>
      </c>
      <c r="S282" s="11">
        <f t="shared" si="71"/>
        <v>-13</v>
      </c>
      <c r="T282" s="11">
        <f t="shared" si="71"/>
        <v>-23</v>
      </c>
      <c r="U282" s="11">
        <f t="shared" si="71"/>
        <v>-31</v>
      </c>
      <c r="V282" s="11">
        <f t="shared" si="71"/>
        <v>-23</v>
      </c>
      <c r="W282" s="11">
        <f t="shared" si="71"/>
        <v>-13</v>
      </c>
      <c r="X282" s="11">
        <f t="shared" si="71"/>
        <v>-29</v>
      </c>
    </row>
    <row r="283" spans="2:24">
      <c r="C283" s="81" t="s">
        <v>287</v>
      </c>
      <c r="D283" s="27" t="s">
        <v>224</v>
      </c>
      <c r="L283" s="11">
        <f t="shared" ref="L283:X283" si="72">L223</f>
        <v>-25</v>
      </c>
      <c r="M283" s="11">
        <f t="shared" si="72"/>
        <v>0</v>
      </c>
      <c r="N283" s="11">
        <f t="shared" si="72"/>
        <v>0</v>
      </c>
      <c r="O283" s="11">
        <f t="shared" si="72"/>
        <v>0</v>
      </c>
      <c r="P283" s="11">
        <f t="shared" si="72"/>
        <v>-30</v>
      </c>
      <c r="Q283" s="11">
        <f t="shared" si="72"/>
        <v>0</v>
      </c>
      <c r="R283" s="11">
        <f t="shared" si="72"/>
        <v>0</v>
      </c>
      <c r="S283" s="11">
        <f t="shared" si="72"/>
        <v>0</v>
      </c>
      <c r="T283" s="11">
        <f t="shared" si="72"/>
        <v>-35</v>
      </c>
      <c r="U283" s="11">
        <f t="shared" si="72"/>
        <v>0</v>
      </c>
      <c r="V283" s="11">
        <f t="shared" si="72"/>
        <v>0</v>
      </c>
      <c r="W283" s="11">
        <f t="shared" si="72"/>
        <v>0</v>
      </c>
      <c r="X283" s="11">
        <f t="shared" si="72"/>
        <v>0</v>
      </c>
    </row>
    <row r="284" spans="2:24">
      <c r="D284" s="68" t="s">
        <v>289</v>
      </c>
      <c r="L284" s="22">
        <f>SUM(L280:L283)</f>
        <v>7.5000000000000142</v>
      </c>
      <c r="M284" s="22">
        <f t="shared" ref="M284:X284" si="73">SUM(M280:M283)</f>
        <v>32.96250000000002</v>
      </c>
      <c r="N284" s="22">
        <f t="shared" si="73"/>
        <v>29.046562500000022</v>
      </c>
      <c r="O284" s="22">
        <f t="shared" si="73"/>
        <v>26.807226562500048</v>
      </c>
      <c r="P284" s="22">
        <f t="shared" si="73"/>
        <v>15.304378026562574</v>
      </c>
      <c r="Q284" s="22">
        <f t="shared" si="73"/>
        <v>52.603181707226639</v>
      </c>
      <c r="R284" s="22">
        <f t="shared" si="73"/>
        <v>58.774552737707296</v>
      </c>
      <c r="S284" s="22">
        <f t="shared" si="73"/>
        <v>85.895670650725023</v>
      </c>
      <c r="T284" s="22">
        <f t="shared" si="73"/>
        <v>53.050540129836918</v>
      </c>
      <c r="U284" s="22">
        <f t="shared" si="73"/>
        <v>93.330602727610483</v>
      </c>
      <c r="V284" s="22">
        <f t="shared" si="73"/>
        <v>115.83540424787071</v>
      </c>
      <c r="W284" s="22">
        <f t="shared" si="73"/>
        <v>141.67332292732789</v>
      </c>
      <c r="X284" s="22">
        <f t="shared" si="73"/>
        <v>142.96236403123788</v>
      </c>
    </row>
    <row r="285" spans="2:24">
      <c r="D285" s="68"/>
      <c r="L285" s="59"/>
      <c r="M285" s="59"/>
      <c r="N285" s="59"/>
      <c r="O285" s="59"/>
      <c r="P285" s="59"/>
      <c r="Q285" s="59"/>
      <c r="R285" s="59"/>
      <c r="S285" s="59"/>
      <c r="T285" s="59"/>
      <c r="U285" s="59"/>
      <c r="V285" s="59"/>
      <c r="W285" s="59"/>
      <c r="X285" s="59"/>
    </row>
    <row r="286" spans="2:24">
      <c r="C286" s="25" t="s">
        <v>290</v>
      </c>
      <c r="D286" s="68"/>
      <c r="L286" s="59"/>
      <c r="M286" s="59"/>
      <c r="N286" s="59"/>
      <c r="O286" s="59"/>
      <c r="P286" s="59"/>
      <c r="Q286" s="59"/>
      <c r="R286" s="59"/>
      <c r="S286" s="59"/>
      <c r="T286" s="59"/>
      <c r="U286" s="59"/>
      <c r="V286" s="59"/>
      <c r="W286" s="59"/>
      <c r="X286" s="59"/>
    </row>
    <row r="287" spans="2:24">
      <c r="C287" s="25"/>
      <c r="D287" s="68"/>
      <c r="L287" s="59"/>
      <c r="M287" s="59"/>
      <c r="N287" s="59"/>
      <c r="O287" s="59"/>
      <c r="P287" s="59"/>
      <c r="Q287" s="59"/>
      <c r="R287" s="59"/>
      <c r="S287" s="59"/>
      <c r="T287" s="59"/>
      <c r="U287" s="59"/>
      <c r="V287" s="59"/>
      <c r="W287" s="59"/>
      <c r="X287" s="59"/>
    </row>
    <row r="288" spans="2:24">
      <c r="D288" s="27" t="s">
        <v>289</v>
      </c>
      <c r="L288" s="11">
        <f>L284</f>
        <v>7.5000000000000142</v>
      </c>
      <c r="M288" s="11">
        <f t="shared" ref="M288:X288" si="74">M284</f>
        <v>32.96250000000002</v>
      </c>
      <c r="N288" s="11">
        <f t="shared" si="74"/>
        <v>29.046562500000022</v>
      </c>
      <c r="O288" s="11">
        <f t="shared" si="74"/>
        <v>26.807226562500048</v>
      </c>
      <c r="P288" s="11">
        <f t="shared" si="74"/>
        <v>15.304378026562574</v>
      </c>
      <c r="Q288" s="11">
        <f t="shared" si="74"/>
        <v>52.603181707226639</v>
      </c>
      <c r="R288" s="11">
        <f t="shared" si="74"/>
        <v>58.774552737707296</v>
      </c>
      <c r="S288" s="11">
        <f t="shared" si="74"/>
        <v>85.895670650725023</v>
      </c>
      <c r="T288" s="11">
        <f t="shared" si="74"/>
        <v>53.050540129836918</v>
      </c>
      <c r="U288" s="11">
        <f t="shared" si="74"/>
        <v>93.330602727610483</v>
      </c>
      <c r="V288" s="11">
        <f t="shared" si="74"/>
        <v>115.83540424787071</v>
      </c>
      <c r="W288" s="11">
        <f t="shared" si="74"/>
        <v>141.67332292732789</v>
      </c>
      <c r="X288" s="11">
        <f t="shared" si="74"/>
        <v>142.96236403123788</v>
      </c>
    </row>
    <row r="289" spans="3:24">
      <c r="C289" s="80" t="s">
        <v>291</v>
      </c>
      <c r="D289" s="27" t="s">
        <v>292</v>
      </c>
      <c r="L289" s="11">
        <f>L262</f>
        <v>25</v>
      </c>
      <c r="M289" s="11">
        <f t="shared" ref="M289:X289" si="75">M262</f>
        <v>0</v>
      </c>
      <c r="N289" s="11">
        <f t="shared" si="75"/>
        <v>0</v>
      </c>
      <c r="O289" s="11">
        <f t="shared" si="75"/>
        <v>0</v>
      </c>
      <c r="P289" s="11">
        <f t="shared" si="75"/>
        <v>30</v>
      </c>
      <c r="Q289" s="11">
        <f t="shared" si="75"/>
        <v>0</v>
      </c>
      <c r="R289" s="11">
        <f t="shared" si="75"/>
        <v>0</v>
      </c>
      <c r="S289" s="11">
        <f t="shared" si="75"/>
        <v>0</v>
      </c>
      <c r="T289" s="11">
        <f t="shared" si="75"/>
        <v>35</v>
      </c>
      <c r="U289" s="11">
        <f t="shared" si="75"/>
        <v>0</v>
      </c>
      <c r="V289" s="11">
        <f t="shared" si="75"/>
        <v>0</v>
      </c>
      <c r="W289" s="11">
        <f t="shared" si="75"/>
        <v>0</v>
      </c>
      <c r="X289" s="11">
        <f t="shared" si="75"/>
        <v>0</v>
      </c>
    </row>
    <row r="290" spans="3:24">
      <c r="C290" s="80" t="s">
        <v>291</v>
      </c>
      <c r="D290" s="27" t="s">
        <v>293</v>
      </c>
      <c r="L290" s="11">
        <f>L264</f>
        <v>0</v>
      </c>
      <c r="M290" s="11">
        <f t="shared" ref="M290:X290" si="76">M264</f>
        <v>0</v>
      </c>
      <c r="N290" s="11">
        <f t="shared" si="76"/>
        <v>0</v>
      </c>
      <c r="O290" s="11">
        <f t="shared" si="76"/>
        <v>0</v>
      </c>
      <c r="P290" s="11">
        <f t="shared" si="76"/>
        <v>0</v>
      </c>
      <c r="Q290" s="11">
        <f t="shared" si="76"/>
        <v>0</v>
      </c>
      <c r="R290" s="11">
        <f t="shared" si="76"/>
        <v>0</v>
      </c>
      <c r="S290" s="11">
        <f t="shared" si="76"/>
        <v>0</v>
      </c>
      <c r="T290" s="11">
        <f t="shared" si="76"/>
        <v>0</v>
      </c>
      <c r="U290" s="11">
        <f t="shared" si="76"/>
        <v>0</v>
      </c>
      <c r="V290" s="11">
        <f t="shared" si="76"/>
        <v>0</v>
      </c>
      <c r="W290" s="11">
        <f t="shared" si="76"/>
        <v>0</v>
      </c>
      <c r="X290" s="11">
        <f t="shared" si="76"/>
        <v>0</v>
      </c>
    </row>
    <row r="291" spans="3:24">
      <c r="C291" s="80" t="s">
        <v>287</v>
      </c>
      <c r="D291" s="27" t="s">
        <v>294</v>
      </c>
      <c r="L291" s="11">
        <f t="shared" ref="L291:X291" si="77">L212</f>
        <v>-2.2000000000000002</v>
      </c>
      <c r="M291" s="11">
        <f t="shared" ca="1" si="77"/>
        <v>-9.9787500000000051</v>
      </c>
      <c r="N291" s="11">
        <f t="shared" ca="1" si="77"/>
        <v>-11.148750000000007</v>
      </c>
      <c r="O291" s="11">
        <f t="shared" ca="1" si="77"/>
        <v>-9.9739687500000063</v>
      </c>
      <c r="P291" s="11">
        <f t="shared" ca="1" si="77"/>
        <v>-9.3021679687500143</v>
      </c>
      <c r="Q291" s="11">
        <f t="shared" ca="1" si="77"/>
        <v>-14.64881340796877</v>
      </c>
      <c r="R291" s="11">
        <f t="shared" ca="1" si="77"/>
        <v>-16.635954512167991</v>
      </c>
      <c r="S291" s="11">
        <f t="shared" ca="1" si="77"/>
        <v>-18.487365821312189</v>
      </c>
      <c r="T291" s="11">
        <f t="shared" ca="1" si="77"/>
        <v>-26.623701195217503</v>
      </c>
      <c r="U291" s="11">
        <f t="shared" ca="1" si="77"/>
        <v>-27.033912038951076</v>
      </c>
      <c r="V291" s="11">
        <f t="shared" ca="1" si="77"/>
        <v>-28.381680818283147</v>
      </c>
      <c r="W291" s="11">
        <f t="shared" ca="1" si="77"/>
        <v>-35.133121274361216</v>
      </c>
      <c r="X291" s="11">
        <f t="shared" ca="1" si="77"/>
        <v>-42.88449687819837</v>
      </c>
    </row>
    <row r="292" spans="3:24">
      <c r="C292" s="80" t="s">
        <v>295</v>
      </c>
      <c r="D292" s="27" t="s">
        <v>296</v>
      </c>
      <c r="L292" s="11">
        <f t="shared" ref="L292:X292" si="78">SUM(L249:L250)</f>
        <v>91.890410958904113</v>
      </c>
      <c r="M292" s="11">
        <f t="shared" si="78"/>
        <v>-0.40479452054795217</v>
      </c>
      <c r="N292" s="11">
        <f t="shared" si="78"/>
        <v>-0.4527226027397262</v>
      </c>
      <c r="O292" s="11">
        <f t="shared" si="78"/>
        <v>-0.50653753438693627</v>
      </c>
      <c r="P292" s="11">
        <f t="shared" si="78"/>
        <v>-0.56086741792472594</v>
      </c>
      <c r="Q292" s="11" t="e">
        <f t="shared" si="78"/>
        <v>#VALUE!</v>
      </c>
      <c r="R292" s="11">
        <f t="shared" si="78"/>
        <v>-0.69302719752009523</v>
      </c>
      <c r="S292" s="11">
        <f t="shared" si="78"/>
        <v>-0.76172225030329344</v>
      </c>
      <c r="T292" s="11">
        <f t="shared" si="78"/>
        <v>-0.85460824958951775</v>
      </c>
      <c r="U292" s="11">
        <f t="shared" si="78"/>
        <v>-0.93754258708374039</v>
      </c>
      <c r="V292" s="11">
        <f t="shared" si="78"/>
        <v>-1.034356824983476</v>
      </c>
      <c r="W292" s="11">
        <f t="shared" si="78"/>
        <v>-1.1233691147711369</v>
      </c>
      <c r="X292" s="11">
        <f t="shared" si="78"/>
        <v>-1.2718223833353477</v>
      </c>
    </row>
    <row r="293" spans="3:24">
      <c r="D293" s="68" t="s">
        <v>297</v>
      </c>
      <c r="L293" s="61">
        <f>SUM(L288:L292)</f>
        <v>122.19041095890412</v>
      </c>
      <c r="M293" s="61">
        <f t="shared" ref="M293:X293" ca="1" si="79">SUM(M288:M292)</f>
        <v>22.578955479452063</v>
      </c>
      <c r="N293" s="61">
        <f t="shared" ca="1" si="79"/>
        <v>17.445089897260289</v>
      </c>
      <c r="O293" s="61">
        <f t="shared" ca="1" si="79"/>
        <v>16.326720278113108</v>
      </c>
      <c r="P293" s="61">
        <f t="shared" ca="1" si="79"/>
        <v>35.441342639887836</v>
      </c>
      <c r="Q293" s="61" t="e">
        <f t="shared" ca="1" si="79"/>
        <v>#VALUE!</v>
      </c>
      <c r="R293" s="61">
        <f t="shared" ca="1" si="79"/>
        <v>41.445571028019209</v>
      </c>
      <c r="S293" s="61">
        <f t="shared" ca="1" si="79"/>
        <v>66.646582579109534</v>
      </c>
      <c r="T293" s="61">
        <f t="shared" ca="1" si="79"/>
        <v>60.572230685029893</v>
      </c>
      <c r="U293" s="61">
        <f t="shared" ca="1" si="79"/>
        <v>65.35914810157567</v>
      </c>
      <c r="V293" s="61">
        <f t="shared" ca="1" si="79"/>
        <v>86.419366604604093</v>
      </c>
      <c r="W293" s="61">
        <f t="shared" ca="1" si="79"/>
        <v>105.41683253819554</v>
      </c>
      <c r="X293" s="61">
        <f t="shared" ca="1" si="79"/>
        <v>98.806044769704158</v>
      </c>
    </row>
    <row r="295" spans="3:24">
      <c r="C295" s="25" t="s">
        <v>298</v>
      </c>
    </row>
    <row r="297" spans="3:24">
      <c r="D297" s="27" t="s">
        <v>235</v>
      </c>
      <c r="L297" s="11">
        <f t="shared" ref="L297:X297" si="80">L210</f>
        <v>-1.2375</v>
      </c>
      <c r="M297" s="11">
        <f t="shared" si="80"/>
        <v>-1.7999999999999998</v>
      </c>
      <c r="N297" s="11">
        <f t="shared" si="80"/>
        <v>-1.7999999999999998</v>
      </c>
      <c r="O297" s="11">
        <f t="shared" si="80"/>
        <v>-1.7999999999999998</v>
      </c>
      <c r="P297" s="11">
        <f t="shared" si="80"/>
        <v>-2.4750000000000001</v>
      </c>
      <c r="Q297" s="11">
        <f t="shared" si="80"/>
        <v>-3.15</v>
      </c>
      <c r="R297" s="11">
        <f t="shared" si="80"/>
        <v>-3.15</v>
      </c>
      <c r="S297" s="11">
        <f t="shared" si="80"/>
        <v>-3.15</v>
      </c>
      <c r="T297" s="11">
        <f t="shared" si="80"/>
        <v>-3.9375</v>
      </c>
      <c r="U297" s="11">
        <f t="shared" si="80"/>
        <v>-4.7249999999999996</v>
      </c>
      <c r="V297" s="11">
        <f t="shared" si="80"/>
        <v>-4.7249999999999996</v>
      </c>
      <c r="W297" s="11">
        <f t="shared" si="80"/>
        <v>-4.7249999999999996</v>
      </c>
      <c r="X297" s="11">
        <f t="shared" si="80"/>
        <v>-4.7249999999999996</v>
      </c>
    </row>
    <row r="298" spans="3:24">
      <c r="C298" s="80" t="s">
        <v>291</v>
      </c>
      <c r="D298" s="27" t="s">
        <v>299</v>
      </c>
      <c r="L298" s="11">
        <f>L263</f>
        <v>0</v>
      </c>
      <c r="M298" s="11">
        <f t="shared" ref="M298:X298" si="81">M263</f>
        <v>0</v>
      </c>
      <c r="N298" s="11">
        <f t="shared" si="81"/>
        <v>0</v>
      </c>
      <c r="O298" s="11">
        <f t="shared" si="81"/>
        <v>0</v>
      </c>
      <c r="P298" s="11">
        <f t="shared" si="81"/>
        <v>0</v>
      </c>
      <c r="Q298" s="11">
        <f t="shared" si="81"/>
        <v>0</v>
      </c>
      <c r="R298" s="11">
        <f t="shared" si="81"/>
        <v>0</v>
      </c>
      <c r="S298" s="11">
        <f t="shared" si="81"/>
        <v>0</v>
      </c>
      <c r="T298" s="11">
        <f t="shared" si="81"/>
        <v>0</v>
      </c>
      <c r="U298" s="11">
        <f t="shared" si="81"/>
        <v>0</v>
      </c>
      <c r="V298" s="11">
        <f t="shared" si="81"/>
        <v>0</v>
      </c>
      <c r="W298" s="11">
        <f t="shared" si="81"/>
        <v>0</v>
      </c>
      <c r="X298" s="11">
        <f t="shared" si="81"/>
        <v>0</v>
      </c>
    </row>
    <row r="299" spans="3:24">
      <c r="D299" s="68" t="s">
        <v>300</v>
      </c>
      <c r="L299" s="22">
        <f>SUM(L297:L298)</f>
        <v>-1.2375</v>
      </c>
      <c r="M299" s="22">
        <f t="shared" ref="M299:X299" si="82">SUM(M297:M298)</f>
        <v>-1.7999999999999998</v>
      </c>
      <c r="N299" s="22">
        <f t="shared" si="82"/>
        <v>-1.7999999999999998</v>
      </c>
      <c r="O299" s="22">
        <f t="shared" si="82"/>
        <v>-1.7999999999999998</v>
      </c>
      <c r="P299" s="22">
        <f t="shared" si="82"/>
        <v>-2.4750000000000001</v>
      </c>
      <c r="Q299" s="22">
        <f t="shared" si="82"/>
        <v>-3.15</v>
      </c>
      <c r="R299" s="22">
        <f t="shared" si="82"/>
        <v>-3.15</v>
      </c>
      <c r="S299" s="22">
        <f t="shared" si="82"/>
        <v>-3.15</v>
      </c>
      <c r="T299" s="22">
        <f t="shared" si="82"/>
        <v>-3.9375</v>
      </c>
      <c r="U299" s="22">
        <f t="shared" si="82"/>
        <v>-4.7249999999999996</v>
      </c>
      <c r="V299" s="22">
        <f t="shared" si="82"/>
        <v>-4.7249999999999996</v>
      </c>
      <c r="W299" s="22">
        <f t="shared" si="82"/>
        <v>-4.7249999999999996</v>
      </c>
      <c r="X299" s="22">
        <f t="shared" si="82"/>
        <v>-4.7249999999999996</v>
      </c>
    </row>
    <row r="301" spans="3:24">
      <c r="C301" s="68" t="s">
        <v>301</v>
      </c>
    </row>
    <row r="302" spans="3:24">
      <c r="C302" s="68"/>
    </row>
    <row r="303" spans="3:24">
      <c r="D303" s="27" t="s">
        <v>297</v>
      </c>
      <c r="L303" s="11">
        <f>L293</f>
        <v>122.19041095890412</v>
      </c>
      <c r="M303" s="11">
        <f t="shared" ref="M303:X303" ca="1" si="83">M293</f>
        <v>22.578955479452063</v>
      </c>
      <c r="N303" s="11">
        <f t="shared" ca="1" si="83"/>
        <v>17.445089897260289</v>
      </c>
      <c r="O303" s="11">
        <f t="shared" ca="1" si="83"/>
        <v>16.326720278113108</v>
      </c>
      <c r="P303" s="11">
        <f t="shared" ca="1" si="83"/>
        <v>35.441342639887836</v>
      </c>
      <c r="Q303" s="11" t="e">
        <f t="shared" ca="1" si="83"/>
        <v>#VALUE!</v>
      </c>
      <c r="R303" s="11">
        <f t="shared" ca="1" si="83"/>
        <v>41.445571028019209</v>
      </c>
      <c r="S303" s="11">
        <f t="shared" ca="1" si="83"/>
        <v>66.646582579109534</v>
      </c>
      <c r="T303" s="11">
        <f t="shared" ca="1" si="83"/>
        <v>60.572230685029893</v>
      </c>
      <c r="U303" s="11">
        <f t="shared" ca="1" si="83"/>
        <v>65.35914810157567</v>
      </c>
      <c r="V303" s="11">
        <f t="shared" ca="1" si="83"/>
        <v>86.419366604604093</v>
      </c>
      <c r="W303" s="11">
        <f t="shared" ca="1" si="83"/>
        <v>105.41683253819554</v>
      </c>
      <c r="X303" s="11">
        <f t="shared" ca="1" si="83"/>
        <v>98.806044769704158</v>
      </c>
    </row>
    <row r="304" spans="3:24">
      <c r="C304" s="80" t="s">
        <v>287</v>
      </c>
      <c r="D304" s="27" t="s">
        <v>298</v>
      </c>
      <c r="L304" s="11">
        <f>L299</f>
        <v>-1.2375</v>
      </c>
      <c r="M304" s="11">
        <f t="shared" ref="M304:X304" si="84">M299</f>
        <v>-1.7999999999999998</v>
      </c>
      <c r="N304" s="11">
        <f t="shared" si="84"/>
        <v>-1.7999999999999998</v>
      </c>
      <c r="O304" s="11">
        <f t="shared" si="84"/>
        <v>-1.7999999999999998</v>
      </c>
      <c r="P304" s="11">
        <f t="shared" si="84"/>
        <v>-2.4750000000000001</v>
      </c>
      <c r="Q304" s="11">
        <f t="shared" si="84"/>
        <v>-3.15</v>
      </c>
      <c r="R304" s="11">
        <f t="shared" si="84"/>
        <v>-3.15</v>
      </c>
      <c r="S304" s="11">
        <f t="shared" si="84"/>
        <v>-3.15</v>
      </c>
      <c r="T304" s="11">
        <f t="shared" si="84"/>
        <v>-3.9375</v>
      </c>
      <c r="U304" s="11">
        <f t="shared" si="84"/>
        <v>-4.7249999999999996</v>
      </c>
      <c r="V304" s="11">
        <f t="shared" si="84"/>
        <v>-4.7249999999999996</v>
      </c>
      <c r="W304" s="11">
        <f t="shared" si="84"/>
        <v>-4.7249999999999996</v>
      </c>
      <c r="X304" s="11">
        <f t="shared" si="84"/>
        <v>-4.7249999999999996</v>
      </c>
    </row>
    <row r="305" spans="3:24">
      <c r="D305" s="68" t="s">
        <v>302</v>
      </c>
      <c r="L305" s="61">
        <f>SUM(L303:L304)</f>
        <v>120.95291095890413</v>
      </c>
      <c r="M305" s="61">
        <f t="shared" ref="M305:X305" ca="1" si="85">SUM(M303:M304)</f>
        <v>20.778955479452062</v>
      </c>
      <c r="N305" s="61">
        <f t="shared" ca="1" si="85"/>
        <v>15.645089897260288</v>
      </c>
      <c r="O305" s="61">
        <f t="shared" ca="1" si="85"/>
        <v>14.526720278113107</v>
      </c>
      <c r="P305" s="61">
        <f t="shared" ca="1" si="85"/>
        <v>32.966342639887834</v>
      </c>
      <c r="Q305" s="61" t="e">
        <f t="shared" ca="1" si="85"/>
        <v>#VALUE!</v>
      </c>
      <c r="R305" s="61">
        <f t="shared" ca="1" si="85"/>
        <v>38.295571028019211</v>
      </c>
      <c r="S305" s="61">
        <f t="shared" ca="1" si="85"/>
        <v>63.496582579109536</v>
      </c>
      <c r="T305" s="61">
        <f t="shared" ca="1" si="85"/>
        <v>56.634730685029893</v>
      </c>
      <c r="U305" s="61">
        <f t="shared" ca="1" si="85"/>
        <v>60.634148101575668</v>
      </c>
      <c r="V305" s="61">
        <f t="shared" ca="1" si="85"/>
        <v>81.694366604604099</v>
      </c>
      <c r="W305" s="61">
        <f t="shared" ca="1" si="85"/>
        <v>100.69183253819554</v>
      </c>
      <c r="X305" s="61">
        <f t="shared" ca="1" si="85"/>
        <v>94.081044769704164</v>
      </c>
    </row>
    <row r="306" spans="3:24">
      <c r="D306" s="68"/>
      <c r="L306" s="59"/>
      <c r="M306" s="59"/>
      <c r="N306" s="59"/>
      <c r="O306" s="59"/>
      <c r="P306" s="59"/>
      <c r="Q306" s="59"/>
      <c r="R306" s="59"/>
      <c r="S306" s="59"/>
      <c r="T306" s="59"/>
      <c r="U306" s="59"/>
      <c r="V306" s="59"/>
      <c r="W306" s="59"/>
      <c r="X306" s="59"/>
    </row>
    <row r="307" spans="3:24">
      <c r="C307" s="25" t="s">
        <v>303</v>
      </c>
      <c r="D307" s="68"/>
      <c r="L307" s="59"/>
      <c r="M307" s="59"/>
      <c r="N307" s="59"/>
      <c r="O307" s="59"/>
      <c r="P307" s="59"/>
      <c r="Q307" s="59"/>
      <c r="R307" s="59"/>
      <c r="S307" s="59"/>
      <c r="T307" s="59"/>
      <c r="U307" s="59"/>
      <c r="V307" s="59"/>
      <c r="W307" s="59"/>
      <c r="X307" s="59"/>
    </row>
    <row r="308" spans="3:24">
      <c r="D308" s="68"/>
      <c r="L308" s="59"/>
      <c r="M308" s="59"/>
      <c r="N308" s="59"/>
      <c r="O308" s="59"/>
      <c r="P308" s="59"/>
      <c r="Q308" s="59"/>
      <c r="R308" s="59"/>
      <c r="S308" s="59"/>
      <c r="T308" s="59"/>
      <c r="U308" s="59"/>
      <c r="V308" s="59"/>
      <c r="W308" s="59"/>
      <c r="X308" s="59"/>
    </row>
    <row r="309" spans="3:24">
      <c r="D309" s="69" t="s">
        <v>304</v>
      </c>
      <c r="L309" s="11">
        <f>L305</f>
        <v>120.95291095890413</v>
      </c>
      <c r="M309" s="11">
        <f t="shared" ref="M309:X309" ca="1" si="86">M305</f>
        <v>20.778955479452062</v>
      </c>
      <c r="N309" s="11">
        <f t="shared" ca="1" si="86"/>
        <v>15.645089897260288</v>
      </c>
      <c r="O309" s="11">
        <f t="shared" ca="1" si="86"/>
        <v>14.526720278113107</v>
      </c>
      <c r="P309" s="11">
        <f t="shared" ca="1" si="86"/>
        <v>32.966342639887834</v>
      </c>
      <c r="Q309" s="11" t="e">
        <f t="shared" ca="1" si="86"/>
        <v>#VALUE!</v>
      </c>
      <c r="R309" s="11">
        <f t="shared" ca="1" si="86"/>
        <v>38.295571028019211</v>
      </c>
      <c r="S309" s="11">
        <f t="shared" ca="1" si="86"/>
        <v>63.496582579109536</v>
      </c>
      <c r="T309" s="11">
        <f t="shared" ca="1" si="86"/>
        <v>56.634730685029893</v>
      </c>
      <c r="U309" s="11">
        <f t="shared" ca="1" si="86"/>
        <v>60.634148101575668</v>
      </c>
      <c r="V309" s="11">
        <f t="shared" ca="1" si="86"/>
        <v>81.694366604604099</v>
      </c>
      <c r="W309" s="11">
        <f t="shared" ca="1" si="86"/>
        <v>100.69183253819554</v>
      </c>
      <c r="X309" s="11">
        <f t="shared" ca="1" si="86"/>
        <v>94.081044769704164</v>
      </c>
    </row>
    <row r="310" spans="3:24">
      <c r="C310" s="80" t="s">
        <v>295</v>
      </c>
      <c r="D310" s="27" t="s">
        <v>305</v>
      </c>
      <c r="L310" s="11">
        <f>L265</f>
        <v>0</v>
      </c>
      <c r="M310" s="11">
        <f t="shared" ref="M310:X310" si="87">M265</f>
        <v>0</v>
      </c>
      <c r="N310" s="11">
        <f t="shared" si="87"/>
        <v>0</v>
      </c>
      <c r="O310" s="11">
        <f t="shared" si="87"/>
        <v>0</v>
      </c>
      <c r="P310" s="11">
        <f t="shared" si="87"/>
        <v>0</v>
      </c>
      <c r="Q310" s="11">
        <f t="shared" si="87"/>
        <v>0</v>
      </c>
      <c r="R310" s="11">
        <f t="shared" si="87"/>
        <v>0</v>
      </c>
      <c r="S310" s="11">
        <f t="shared" si="87"/>
        <v>0</v>
      </c>
      <c r="T310" s="11">
        <f t="shared" si="87"/>
        <v>0</v>
      </c>
      <c r="U310" s="11">
        <f t="shared" si="87"/>
        <v>0</v>
      </c>
      <c r="V310" s="11">
        <f t="shared" si="87"/>
        <v>0</v>
      </c>
      <c r="W310" s="11">
        <f t="shared" si="87"/>
        <v>0</v>
      </c>
      <c r="X310" s="11">
        <f t="shared" si="87"/>
        <v>0</v>
      </c>
    </row>
    <row r="311" spans="3:24">
      <c r="C311" s="80" t="s">
        <v>295</v>
      </c>
      <c r="D311" s="27" t="s">
        <v>133</v>
      </c>
      <c r="L311" s="11">
        <f ca="1">L266</f>
        <v>-9.751687500000001</v>
      </c>
      <c r="M311" s="11">
        <f ca="1">M266</f>
        <v>-8.5335406250000005</v>
      </c>
      <c r="N311" s="11">
        <f t="shared" ref="N311:X311" ca="1" si="88">N266</f>
        <v>-8.6642432812500019</v>
      </c>
      <c r="O311" s="11">
        <f t="shared" ca="1" si="88"/>
        <v>-8.7100340468750037</v>
      </c>
      <c r="P311" s="11">
        <f t="shared" ca="1" si="88"/>
        <v>-9.3248105754609441</v>
      </c>
      <c r="Q311" s="11" t="e">
        <f t="shared" ca="1" si="88"/>
        <v>#VALUE!</v>
      </c>
      <c r="R311" s="11" t="e">
        <f t="shared" ca="1" si="88"/>
        <v>#VALUE!</v>
      </c>
      <c r="S311" s="11" t="e">
        <f t="shared" ca="1" si="88"/>
        <v>#VALUE!</v>
      </c>
      <c r="T311" s="11" t="e">
        <f t="shared" ca="1" si="88"/>
        <v>#VALUE!</v>
      </c>
      <c r="U311" s="11" t="e">
        <f t="shared" ca="1" si="88"/>
        <v>#VALUE!</v>
      </c>
      <c r="V311" s="11" t="e">
        <f t="shared" ca="1" si="88"/>
        <v>#VALUE!</v>
      </c>
      <c r="W311" s="11" t="e">
        <f t="shared" ca="1" si="88"/>
        <v>#VALUE!</v>
      </c>
      <c r="X311" s="11" t="e">
        <f t="shared" ca="1" si="88"/>
        <v>#VALUE!</v>
      </c>
    </row>
    <row r="312" spans="3:24">
      <c r="D312" s="68" t="s">
        <v>306</v>
      </c>
      <c r="L312" s="61">
        <f t="shared" ref="L312:X312" ca="1" si="89">SUM(L309:L311)</f>
        <v>111.20122345890412</v>
      </c>
      <c r="M312" s="61">
        <f t="shared" ca="1" si="89"/>
        <v>12.245414854452061</v>
      </c>
      <c r="N312" s="61">
        <f t="shared" ca="1" si="89"/>
        <v>6.980846616010286</v>
      </c>
      <c r="O312" s="61">
        <f t="shared" ca="1" si="89"/>
        <v>5.8166862312381031</v>
      </c>
      <c r="P312" s="61">
        <f t="shared" ca="1" si="89"/>
        <v>23.64153206442689</v>
      </c>
      <c r="Q312" s="61" t="e">
        <f t="shared" ca="1" si="89"/>
        <v>#VALUE!</v>
      </c>
      <c r="R312" s="61" t="e">
        <f t="shared" ca="1" si="89"/>
        <v>#VALUE!</v>
      </c>
      <c r="S312" s="61" t="e">
        <f t="shared" ca="1" si="89"/>
        <v>#VALUE!</v>
      </c>
      <c r="T312" s="61" t="e">
        <f t="shared" ca="1" si="89"/>
        <v>#VALUE!</v>
      </c>
      <c r="U312" s="61" t="e">
        <f t="shared" ca="1" si="89"/>
        <v>#VALUE!</v>
      </c>
      <c r="V312" s="61" t="e">
        <f t="shared" ca="1" si="89"/>
        <v>#VALUE!</v>
      </c>
      <c r="W312" s="61" t="e">
        <f t="shared" ca="1" si="89"/>
        <v>#VALUE!</v>
      </c>
      <c r="X312" s="61" t="e">
        <f t="shared" ca="1" si="89"/>
        <v>#VALUE!</v>
      </c>
    </row>
    <row r="313" spans="3:24">
      <c r="L313" s="82"/>
    </row>
    <row r="314" spans="3:24">
      <c r="C314" s="25" t="s">
        <v>264</v>
      </c>
      <c r="K314" s="25" t="s">
        <v>265</v>
      </c>
      <c r="L314" s="82"/>
    </row>
    <row r="315" spans="3:24">
      <c r="C315" s="25"/>
      <c r="D315" s="27" t="s">
        <v>307</v>
      </c>
      <c r="K315" s="74">
        <f ca="1">COUNTIF(L315:X315,Error)</f>
        <v>0</v>
      </c>
      <c r="L315" s="63" t="str">
        <f t="shared" ref="L315:X315" ca="1" si="90">IF(ROUND(L312-L239,5)=0,Ok,Error)</f>
        <v>Ok</v>
      </c>
      <c r="M315" s="63" t="str">
        <f t="shared" ca="1" si="90"/>
        <v>Ok</v>
      </c>
      <c r="N315" s="63" t="str">
        <f t="shared" ca="1" si="90"/>
        <v>Ok</v>
      </c>
      <c r="O315" s="63" t="str">
        <f t="shared" ca="1" si="90"/>
        <v>Ok</v>
      </c>
      <c r="P315" s="63" t="str">
        <f t="shared" ca="1" si="90"/>
        <v>Ok</v>
      </c>
      <c r="Q315" s="63" t="e">
        <f t="shared" ca="1" si="90"/>
        <v>#VALUE!</v>
      </c>
      <c r="R315" s="63" t="e">
        <f t="shared" ca="1" si="90"/>
        <v>#VALUE!</v>
      </c>
      <c r="S315" s="63" t="e">
        <f t="shared" ca="1" si="90"/>
        <v>#VALUE!</v>
      </c>
      <c r="T315" s="63" t="e">
        <f t="shared" ca="1" si="90"/>
        <v>#VALUE!</v>
      </c>
      <c r="U315" s="63" t="e">
        <f t="shared" ca="1" si="90"/>
        <v>#VALUE!</v>
      </c>
      <c r="V315" s="63" t="e">
        <f t="shared" ca="1" si="90"/>
        <v>#VALUE!</v>
      </c>
      <c r="W315" s="63" t="e">
        <f t="shared" ca="1" si="90"/>
        <v>#VALUE!</v>
      </c>
      <c r="X315" s="63" t="e">
        <f t="shared" ca="1" si="90"/>
        <v>#VALUE!</v>
      </c>
    </row>
    <row r="316" spans="3:24">
      <c r="L316" s="82"/>
    </row>
    <row r="317" spans="3:24" s="29" customFormat="1" ht="12">
      <c r="C317" s="29" t="s">
        <v>308</v>
      </c>
    </row>
    <row r="319" spans="3:24">
      <c r="C319" s="25" t="s">
        <v>309</v>
      </c>
    </row>
    <row r="321" spans="2:24">
      <c r="D321" s="27" t="s">
        <v>297</v>
      </c>
      <c r="L321" s="11">
        <f>L293</f>
        <v>122.19041095890412</v>
      </c>
      <c r="M321" s="11">
        <f t="shared" ref="M321:X321" ca="1" si="91">M293</f>
        <v>22.578955479452063</v>
      </c>
      <c r="N321" s="11">
        <f t="shared" ca="1" si="91"/>
        <v>17.445089897260289</v>
      </c>
      <c r="O321" s="11">
        <f t="shared" ca="1" si="91"/>
        <v>16.326720278113108</v>
      </c>
      <c r="P321" s="11">
        <f t="shared" ca="1" si="91"/>
        <v>35.441342639887836</v>
      </c>
      <c r="Q321" s="11" t="e">
        <f t="shared" ca="1" si="91"/>
        <v>#VALUE!</v>
      </c>
      <c r="R321" s="11">
        <f t="shared" ca="1" si="91"/>
        <v>41.445571028019209</v>
      </c>
      <c r="S321" s="11">
        <f t="shared" ca="1" si="91"/>
        <v>66.646582579109534</v>
      </c>
      <c r="T321" s="11">
        <f t="shared" ca="1" si="91"/>
        <v>60.572230685029893</v>
      </c>
      <c r="U321" s="11">
        <f t="shared" ca="1" si="91"/>
        <v>65.35914810157567</v>
      </c>
      <c r="V321" s="11">
        <f t="shared" ca="1" si="91"/>
        <v>86.419366604604093</v>
      </c>
      <c r="W321" s="11">
        <f t="shared" ca="1" si="91"/>
        <v>105.41683253819554</v>
      </c>
      <c r="X321" s="11">
        <f t="shared" ca="1" si="91"/>
        <v>98.806044769704158</v>
      </c>
    </row>
    <row r="322" spans="2:24">
      <c r="C322" s="80" t="s">
        <v>310</v>
      </c>
      <c r="D322" s="27" t="s">
        <v>311</v>
      </c>
      <c r="L322" s="11">
        <f>-L299</f>
        <v>1.2375</v>
      </c>
      <c r="M322" s="11">
        <f t="shared" ref="M322:X322" si="92">-M299</f>
        <v>1.7999999999999998</v>
      </c>
      <c r="N322" s="11">
        <f t="shared" si="92"/>
        <v>1.7999999999999998</v>
      </c>
      <c r="O322" s="11">
        <f t="shared" si="92"/>
        <v>1.7999999999999998</v>
      </c>
      <c r="P322" s="11">
        <f t="shared" si="92"/>
        <v>2.4750000000000001</v>
      </c>
      <c r="Q322" s="11">
        <f t="shared" si="92"/>
        <v>3.15</v>
      </c>
      <c r="R322" s="11">
        <f t="shared" si="92"/>
        <v>3.15</v>
      </c>
      <c r="S322" s="11">
        <f t="shared" si="92"/>
        <v>3.15</v>
      </c>
      <c r="T322" s="11">
        <f t="shared" si="92"/>
        <v>3.9375</v>
      </c>
      <c r="U322" s="11">
        <f t="shared" si="92"/>
        <v>4.7249999999999996</v>
      </c>
      <c r="V322" s="11">
        <f t="shared" si="92"/>
        <v>4.7249999999999996</v>
      </c>
      <c r="W322" s="11">
        <f t="shared" si="92"/>
        <v>4.7249999999999996</v>
      </c>
      <c r="X322" s="11">
        <f t="shared" si="92"/>
        <v>4.7249999999999996</v>
      </c>
    </row>
    <row r="323" spans="2:24">
      <c r="D323" s="68" t="s">
        <v>312</v>
      </c>
      <c r="L323" s="83">
        <f>L321/L322</f>
        <v>98.739726027397268</v>
      </c>
      <c r="M323" s="83">
        <f t="shared" ref="M323:X323" ca="1" si="93">M321/M322</f>
        <v>12.543864155251146</v>
      </c>
      <c r="N323" s="83">
        <f t="shared" ca="1" si="93"/>
        <v>9.6917166095890508</v>
      </c>
      <c r="O323" s="83">
        <f t="shared" ca="1" si="93"/>
        <v>9.0704001545072828</v>
      </c>
      <c r="P323" s="83">
        <f t="shared" ca="1" si="93"/>
        <v>14.319734399954681</v>
      </c>
      <c r="Q323" s="83" t="e">
        <f t="shared" ca="1" si="93"/>
        <v>#VALUE!</v>
      </c>
      <c r="R323" s="83">
        <f t="shared" ca="1" si="93"/>
        <v>13.157324135879115</v>
      </c>
      <c r="S323" s="83">
        <f t="shared" ca="1" si="93"/>
        <v>21.157645263209375</v>
      </c>
      <c r="T323" s="83">
        <f t="shared" ca="1" si="93"/>
        <v>15.383423666039338</v>
      </c>
      <c r="U323" s="83">
        <f t="shared" ca="1" si="93"/>
        <v>13.832623936841413</v>
      </c>
      <c r="V323" s="83">
        <f t="shared" ca="1" si="93"/>
        <v>18.289813038011449</v>
      </c>
      <c r="W323" s="83">
        <f t="shared" ca="1" si="93"/>
        <v>22.310440748824455</v>
      </c>
      <c r="X323" s="83">
        <f t="shared" ca="1" si="93"/>
        <v>20.911332226392418</v>
      </c>
    </row>
    <row r="325" spans="2:24" s="7" customFormat="1" ht="12.75">
      <c r="B325" s="7" t="s">
        <v>206</v>
      </c>
    </row>
    <row r="327" spans="2:24">
      <c r="C327" s="68" t="s">
        <v>313</v>
      </c>
    </row>
    <row r="328" spans="2:24">
      <c r="D328" s="27" t="s">
        <v>314</v>
      </c>
      <c r="L328" s="11">
        <f ca="1">IF(Asmptn!$K$362&lt;&gt;3,0,L312)</f>
        <v>111.20122345890412</v>
      </c>
      <c r="M328" s="11">
        <f ca="1">IF(Asmptn!$K$362&lt;&gt;3,0,M312)</f>
        <v>12.245414854452061</v>
      </c>
      <c r="N328" s="11">
        <f ca="1">IF(Asmptn!$K$362&lt;&gt;3,0,N312)</f>
        <v>6.980846616010286</v>
      </c>
      <c r="O328" s="11">
        <f ca="1">IF(Asmptn!$K$362&lt;&gt;3,0,O312)</f>
        <v>5.8166862312381031</v>
      </c>
      <c r="P328" s="11">
        <f ca="1">IF(Asmptn!$K$362&lt;&gt;3,0,P312)</f>
        <v>23.64153206442689</v>
      </c>
      <c r="Q328" s="11" t="e">
        <f ca="1">IF(Asmptn!$K$362&lt;&gt;3,0,Q312)</f>
        <v>#VALUE!</v>
      </c>
      <c r="R328" s="11" t="e">
        <f ca="1">IF(Asmptn!$K$362&lt;&gt;3,0,R312)</f>
        <v>#VALUE!</v>
      </c>
      <c r="S328" s="11" t="e">
        <f ca="1">IF(Asmptn!$K$362&lt;&gt;3,0,S312)</f>
        <v>#VALUE!</v>
      </c>
      <c r="T328" s="11" t="e">
        <f ca="1">IF(Asmptn!$K$362&lt;&gt;3,0,T312)</f>
        <v>#VALUE!</v>
      </c>
      <c r="U328" s="11" t="e">
        <f ca="1">IF(Asmptn!$K$362&lt;&gt;3,0,U312)</f>
        <v>#VALUE!</v>
      </c>
      <c r="V328" s="11" t="e">
        <f ca="1">IF(Asmptn!$K$362&lt;&gt;3,0,V312)</f>
        <v>#VALUE!</v>
      </c>
      <c r="W328" s="11" t="e">
        <f ca="1">IF(Asmptn!$K$362&lt;&gt;3,0,W312)</f>
        <v>#VALUE!</v>
      </c>
      <c r="X328" s="11" t="e">
        <f ca="1">IF(Asmptn!$K$362&lt;&gt;3,0,X312)</f>
        <v>#VALUE!</v>
      </c>
    </row>
    <row r="329" spans="2:24">
      <c r="C329" s="81" t="s">
        <v>280</v>
      </c>
      <c r="D329" s="27" t="s">
        <v>140</v>
      </c>
      <c r="L329" s="11">
        <f>IF(Asmptn!$K$362&lt;&gt;3,0,-L297)</f>
        <v>1.2375</v>
      </c>
      <c r="M329" s="11">
        <f>IF(Asmptn!$K$362&lt;&gt;3,0,-M297)</f>
        <v>1.7999999999999998</v>
      </c>
      <c r="N329" s="11">
        <f>IF(Asmptn!$K$362&lt;&gt;3,0,-N297)</f>
        <v>1.7999999999999998</v>
      </c>
      <c r="O329" s="11">
        <f>IF(Asmptn!$K$362&lt;&gt;3,0,-O297)</f>
        <v>1.7999999999999998</v>
      </c>
      <c r="P329" s="11">
        <f>IF(Asmptn!$K$362&lt;&gt;3,0,-P297)</f>
        <v>2.4750000000000001</v>
      </c>
      <c r="Q329" s="11">
        <f>IF(Asmptn!$K$362&lt;&gt;3,0,-Q297)</f>
        <v>3.15</v>
      </c>
      <c r="R329" s="11">
        <f>IF(Asmptn!$K$362&lt;&gt;3,0,-R297)</f>
        <v>3.15</v>
      </c>
      <c r="S329" s="11">
        <f>IF(Asmptn!$K$362&lt;&gt;3,0,-S297)</f>
        <v>3.15</v>
      </c>
      <c r="T329" s="11">
        <f>IF(Asmptn!$K$362&lt;&gt;3,0,-T297)</f>
        <v>3.9375</v>
      </c>
      <c r="U329" s="11">
        <f>IF(Asmptn!$K$362&lt;&gt;3,0,-U297)</f>
        <v>4.7249999999999996</v>
      </c>
      <c r="V329" s="11">
        <f>IF(Asmptn!$K$362&lt;&gt;3,0,-V297)</f>
        <v>4.7249999999999996</v>
      </c>
      <c r="W329" s="11">
        <f>IF(Asmptn!$K$362&lt;&gt;3,0,-W297)</f>
        <v>4.7249999999999996</v>
      </c>
      <c r="X329" s="11">
        <f>IF(Asmptn!$K$362&lt;&gt;3,0,-X297)</f>
        <v>4.7249999999999996</v>
      </c>
    </row>
    <row r="330" spans="2:24">
      <c r="C330" s="81" t="s">
        <v>315</v>
      </c>
      <c r="D330" s="27" t="s">
        <v>316</v>
      </c>
      <c r="L330" s="11">
        <f>IF(Asmptn!$K$362&lt;&gt;3,0,-L329*Asmptn!L235)</f>
        <v>-0.37125000000000002</v>
      </c>
      <c r="M330" s="11">
        <f>IF(Asmptn!$K$362&lt;&gt;3,0,-M329*Asmptn!M235)</f>
        <v>-0.53999999999999992</v>
      </c>
      <c r="N330" s="11">
        <f>IF(Asmptn!$K$362&lt;&gt;3,0,-N329*Asmptn!N235)</f>
        <v>-0.53999999999999992</v>
      </c>
      <c r="O330" s="11">
        <f>IF(Asmptn!$K$362&lt;&gt;3,0,-O329*Asmptn!O235)</f>
        <v>-0.53999999999999992</v>
      </c>
      <c r="P330" s="11">
        <f>IF(Asmptn!$K$362&lt;&gt;3,0,-P329*Asmptn!P235)</f>
        <v>-0.74250000000000005</v>
      </c>
      <c r="Q330" s="11">
        <f>IF(Asmptn!$K$362&lt;&gt;3,0,-Q329*Asmptn!Q235)</f>
        <v>-0.94499999999999995</v>
      </c>
      <c r="R330" s="11">
        <f>IF(Asmptn!$K$362&lt;&gt;3,0,-R329*Asmptn!R235)</f>
        <v>-0.94499999999999995</v>
      </c>
      <c r="S330" s="11">
        <f>IF(Asmptn!$K$362&lt;&gt;3,0,-S329*Asmptn!S235)</f>
        <v>-0.94499999999999995</v>
      </c>
      <c r="T330" s="11">
        <f>IF(Asmptn!$K$362&lt;&gt;3,0,-T329*Asmptn!T235)</f>
        <v>-1.1812499999999999</v>
      </c>
      <c r="U330" s="11">
        <f>IF(Asmptn!$K$362&lt;&gt;3,0,-U329*Asmptn!U235)</f>
        <v>-1.4174999999999998</v>
      </c>
      <c r="V330" s="11">
        <f>IF(Asmptn!$K$362&lt;&gt;3,0,-V329*Asmptn!V235)</f>
        <v>-1.4174999999999998</v>
      </c>
      <c r="W330" s="11">
        <f>IF(Asmptn!$K$362&lt;&gt;3,0,-W329*Asmptn!W235)</f>
        <v>-1.4174999999999998</v>
      </c>
      <c r="X330" s="11">
        <f>IF(Asmptn!$K$362&lt;&gt;3,0,-X329*Asmptn!X235)</f>
        <v>-1.4174999999999998</v>
      </c>
    </row>
    <row r="331" spans="2:24">
      <c r="C331" s="81" t="s">
        <v>280</v>
      </c>
      <c r="D331" s="27" t="s">
        <v>317</v>
      </c>
      <c r="L331" s="11">
        <f>IF(Asmptn!$K$362&lt;&gt;3,0,-L262)</f>
        <v>-25</v>
      </c>
      <c r="M331" s="11">
        <f>IF(Asmptn!$K$362&lt;&gt;3,0,-M262)</f>
        <v>0</v>
      </c>
      <c r="N331" s="11">
        <f>IF(Asmptn!$K$362&lt;&gt;3,0,-N262)</f>
        <v>0</v>
      </c>
      <c r="O331" s="11">
        <f>IF(Asmptn!$K$362&lt;&gt;3,0,-O262)</f>
        <v>0</v>
      </c>
      <c r="P331" s="11">
        <f>IF(Asmptn!$K$362&lt;&gt;3,0,-P262)</f>
        <v>-30</v>
      </c>
      <c r="Q331" s="11">
        <f>IF(Asmptn!$K$362&lt;&gt;3,0,-Q262)</f>
        <v>0</v>
      </c>
      <c r="R331" s="11">
        <f>IF(Asmptn!$K$362&lt;&gt;3,0,-R262)</f>
        <v>0</v>
      </c>
      <c r="S331" s="11">
        <f>IF(Asmptn!$K$362&lt;&gt;3,0,-S262)</f>
        <v>0</v>
      </c>
      <c r="T331" s="11">
        <f>IF(Asmptn!$K$362&lt;&gt;3,0,-T262)</f>
        <v>-35</v>
      </c>
      <c r="U331" s="11">
        <f>IF(Asmptn!$K$362&lt;&gt;3,0,-U262)</f>
        <v>0</v>
      </c>
      <c r="V331" s="11">
        <f>IF(Asmptn!$K$362&lt;&gt;3,0,-V262)</f>
        <v>0</v>
      </c>
      <c r="W331" s="11">
        <f>IF(Asmptn!$K$362&lt;&gt;3,0,-W262)</f>
        <v>0</v>
      </c>
      <c r="X331" s="11">
        <f>IF(Asmptn!$K$362&lt;&gt;3,0,-X262)</f>
        <v>0</v>
      </c>
    </row>
    <row r="332" spans="2:24">
      <c r="C332" s="81" t="s">
        <v>280</v>
      </c>
      <c r="D332" s="27" t="s">
        <v>318</v>
      </c>
      <c r="L332" s="11">
        <f>IF(Asmptn!$K$362&lt;&gt;3,0,-L263)</f>
        <v>0</v>
      </c>
      <c r="M332" s="11">
        <f>IF(Asmptn!$K$362&lt;&gt;3,0,-M263)</f>
        <v>0</v>
      </c>
      <c r="N332" s="11">
        <f>IF(Asmptn!$K$362&lt;&gt;3,0,-N263)</f>
        <v>0</v>
      </c>
      <c r="O332" s="11">
        <f>IF(Asmptn!$K$362&lt;&gt;3,0,-O263)</f>
        <v>0</v>
      </c>
      <c r="P332" s="11">
        <f>IF(Asmptn!$K$362&lt;&gt;3,0,-P263)</f>
        <v>0</v>
      </c>
      <c r="Q332" s="11">
        <f>IF(Asmptn!$K$362&lt;&gt;3,0,-Q263)</f>
        <v>0</v>
      </c>
      <c r="R332" s="11">
        <f>IF(Asmptn!$K$362&lt;&gt;3,0,-R263)</f>
        <v>0</v>
      </c>
      <c r="S332" s="11">
        <f>IF(Asmptn!$K$362&lt;&gt;3,0,-S263)</f>
        <v>0</v>
      </c>
      <c r="T332" s="11">
        <f>IF(Asmptn!$K$362&lt;&gt;3,0,-T263)</f>
        <v>0</v>
      </c>
      <c r="U332" s="11">
        <f>IF(Asmptn!$K$362&lt;&gt;3,0,-U263)</f>
        <v>0</v>
      </c>
      <c r="V332" s="11">
        <f>IF(Asmptn!$K$362&lt;&gt;3,0,-V263)</f>
        <v>0</v>
      </c>
      <c r="W332" s="11">
        <f>IF(Asmptn!$K$362&lt;&gt;3,0,-W263)</f>
        <v>0</v>
      </c>
      <c r="X332" s="11">
        <f>IF(Asmptn!$K$362&lt;&gt;3,0,-X263)</f>
        <v>0</v>
      </c>
    </row>
    <row r="333" spans="2:24">
      <c r="D333" s="68" t="s">
        <v>319</v>
      </c>
      <c r="L333" s="22">
        <f t="shared" ref="L333:X333" ca="1" si="94">SUM(L328:L332)</f>
        <v>87.067473458904118</v>
      </c>
      <c r="M333" s="22">
        <f t="shared" ca="1" si="94"/>
        <v>13.505414854452063</v>
      </c>
      <c r="N333" s="22">
        <f t="shared" ca="1" si="94"/>
        <v>8.2408466160102876</v>
      </c>
      <c r="O333" s="22">
        <f t="shared" ca="1" si="94"/>
        <v>7.0766862312381029</v>
      </c>
      <c r="P333" s="22">
        <f t="shared" ca="1" si="94"/>
        <v>-4.625967935573108</v>
      </c>
      <c r="Q333" s="22" t="e">
        <f t="shared" ca="1" si="94"/>
        <v>#VALUE!</v>
      </c>
      <c r="R333" s="22" t="e">
        <f t="shared" ca="1" si="94"/>
        <v>#VALUE!</v>
      </c>
      <c r="S333" s="22" t="e">
        <f t="shared" ca="1" si="94"/>
        <v>#VALUE!</v>
      </c>
      <c r="T333" s="22" t="e">
        <f t="shared" ca="1" si="94"/>
        <v>#VALUE!</v>
      </c>
      <c r="U333" s="22" t="e">
        <f t="shared" ca="1" si="94"/>
        <v>#VALUE!</v>
      </c>
      <c r="V333" s="22" t="e">
        <f t="shared" ca="1" si="94"/>
        <v>#VALUE!</v>
      </c>
      <c r="W333" s="22" t="e">
        <f t="shared" ca="1" si="94"/>
        <v>#VALUE!</v>
      </c>
      <c r="X333" s="22" t="e">
        <f t="shared" ca="1" si="94"/>
        <v>#VALUE!</v>
      </c>
    </row>
    <row r="335" spans="2:24">
      <c r="D335" s="27" t="s">
        <v>220</v>
      </c>
      <c r="L335" s="11">
        <f>IF(L$20=Asmptn!$K$370,Asmptn!$K$374,0)</f>
        <v>0</v>
      </c>
      <c r="M335" s="11">
        <f>IF(M$20=Asmptn!$K$370,Asmptn!$K$374,0)</f>
        <v>0</v>
      </c>
      <c r="N335" s="11">
        <f>IF(N$20=Asmptn!$K$370,Asmptn!$K$374,0)</f>
        <v>0</v>
      </c>
      <c r="O335" s="11">
        <f>IF(O$20=Asmptn!$K$370,Asmptn!$K$374,0)</f>
        <v>0</v>
      </c>
      <c r="P335" s="11">
        <f>IF(P$20=Asmptn!$K$370,Asmptn!$K$374,0)</f>
        <v>0</v>
      </c>
      <c r="Q335" s="11">
        <f>IF(Q$20=Asmptn!$K$370,Asmptn!$K$374,0)</f>
        <v>0</v>
      </c>
      <c r="R335" s="11">
        <f>IF(R$20=Asmptn!$K$370,Asmptn!$K$374,0)</f>
        <v>0</v>
      </c>
      <c r="S335" s="11">
        <f>IF(S$20=Asmptn!$K$370,Asmptn!$K$374,0)</f>
        <v>0</v>
      </c>
      <c r="T335" s="11">
        <f>IF(T$20=Asmptn!$K$370,Asmptn!$K$374,0)</f>
        <v>0</v>
      </c>
      <c r="U335" s="11">
        <f>IF(U$20=Asmptn!$K$370,Asmptn!$K$374,0)</f>
        <v>0</v>
      </c>
      <c r="V335" s="11">
        <f>IF(V$20=Asmptn!$K$370,Asmptn!$K$374,0)</f>
        <v>0</v>
      </c>
      <c r="W335" s="11" t="e">
        <f ca="1">IF(W$20=Asmptn!$K$370,Asmptn!$K$374,0)</f>
        <v>#VALUE!</v>
      </c>
      <c r="X335" s="11">
        <f>IF(X$20=Asmptn!$K$370,Asmptn!$K$374,0)</f>
        <v>0</v>
      </c>
    </row>
    <row r="336" spans="2:24">
      <c r="D336" s="27" t="s">
        <v>221</v>
      </c>
      <c r="L336" s="11">
        <f>IF(L$20=Asmptn!$K$370,Asmptn!$K$376,0)</f>
        <v>0</v>
      </c>
      <c r="M336" s="11">
        <f>IF(M$20=Asmptn!$K$370,Asmptn!$K$376,0)</f>
        <v>0</v>
      </c>
      <c r="N336" s="11">
        <f>IF(N$20=Asmptn!$K$370,Asmptn!$K$376,0)</f>
        <v>0</v>
      </c>
      <c r="O336" s="11">
        <f>IF(O$20=Asmptn!$K$370,Asmptn!$K$376,0)</f>
        <v>0</v>
      </c>
      <c r="P336" s="11">
        <f>IF(P$20=Asmptn!$K$370,Asmptn!$K$376,0)</f>
        <v>0</v>
      </c>
      <c r="Q336" s="11">
        <f>IF(Q$20=Asmptn!$K$370,Asmptn!$K$376,0)</f>
        <v>0</v>
      </c>
      <c r="R336" s="11">
        <f>IF(R$20=Asmptn!$K$370,Asmptn!$K$376,0)</f>
        <v>0</v>
      </c>
      <c r="S336" s="11">
        <f>IF(S$20=Asmptn!$K$370,Asmptn!$K$376,0)</f>
        <v>0</v>
      </c>
      <c r="T336" s="11">
        <f>IF(T$20=Asmptn!$K$370,Asmptn!$K$376,0)</f>
        <v>0</v>
      </c>
      <c r="U336" s="11">
        <f>IF(U$20=Asmptn!$K$370,Asmptn!$K$376,0)</f>
        <v>0</v>
      </c>
      <c r="V336" s="11">
        <f>IF(V$20=Asmptn!$K$370,Asmptn!$K$376,0)</f>
        <v>0</v>
      </c>
      <c r="W336" s="11">
        <f>IF(W$20=Asmptn!$K$370,Asmptn!$K$376,0)</f>
        <v>50</v>
      </c>
      <c r="X336" s="11">
        <f>IF(X$20=Asmptn!$K$370,Asmptn!$K$376,0)</f>
        <v>0</v>
      </c>
    </row>
    <row r="337" spans="4:24">
      <c r="D337" s="68" t="s">
        <v>320</v>
      </c>
      <c r="L337" s="22">
        <f t="shared" ref="L337:X337" si="95">SUM(L335:L336)</f>
        <v>0</v>
      </c>
      <c r="M337" s="22">
        <f t="shared" si="95"/>
        <v>0</v>
      </c>
      <c r="N337" s="22">
        <f t="shared" si="95"/>
        <v>0</v>
      </c>
      <c r="O337" s="22">
        <f t="shared" si="95"/>
        <v>0</v>
      </c>
      <c r="P337" s="22">
        <f t="shared" si="95"/>
        <v>0</v>
      </c>
      <c r="Q337" s="22">
        <f t="shared" si="95"/>
        <v>0</v>
      </c>
      <c r="R337" s="22">
        <f t="shared" si="95"/>
        <v>0</v>
      </c>
      <c r="S337" s="22">
        <f t="shared" si="95"/>
        <v>0</v>
      </c>
      <c r="T337" s="22">
        <f t="shared" si="95"/>
        <v>0</v>
      </c>
      <c r="U337" s="22">
        <f t="shared" si="95"/>
        <v>0</v>
      </c>
      <c r="V337" s="22">
        <f t="shared" si="95"/>
        <v>0</v>
      </c>
      <c r="W337" s="22" t="e">
        <f t="shared" ca="1" si="95"/>
        <v>#VALUE!</v>
      </c>
      <c r="X337" s="22">
        <f t="shared" si="95"/>
        <v>0</v>
      </c>
    </row>
    <row r="339" spans="4:24">
      <c r="D339" s="68" t="s">
        <v>321</v>
      </c>
    </row>
    <row r="340" spans="4:24">
      <c r="D340" s="27" t="str">
        <f>D333</f>
        <v>Pre Financing Post Tax</v>
      </c>
      <c r="K340" s="95" t="e">
        <f ca="1">SUM(L340:X340)</f>
        <v>#VALUE!</v>
      </c>
      <c r="L340" s="11">
        <f ca="1">L333*Asmptn!L$365</f>
        <v>83.015578683198598</v>
      </c>
      <c r="M340" s="11">
        <f ca="1">M333*Asmptn!M$365</f>
        <v>11.706279832692497</v>
      </c>
      <c r="N340" s="11">
        <f ca="1">N333*Asmptn!N$365</f>
        <v>6.4936685554354909</v>
      </c>
      <c r="O340" s="11">
        <f ca="1">O333*Asmptn!O$365</f>
        <v>5.0693881121825042</v>
      </c>
      <c r="P340" s="11">
        <f ca="1">P333*Asmptn!P$365</f>
        <v>-3.0125588181262359</v>
      </c>
      <c r="Q340" s="11" t="e">
        <f ca="1">Q333*Asmptn!Q$365</f>
        <v>#VALUE!</v>
      </c>
      <c r="R340" s="11" t="e">
        <f ca="1">R333*Asmptn!R$365</f>
        <v>#VALUE!</v>
      </c>
      <c r="S340" s="11" t="e">
        <f ca="1">S333*Asmptn!S$365</f>
        <v>#VALUE!</v>
      </c>
      <c r="T340" s="11" t="e">
        <f ca="1">T333*Asmptn!T$365</f>
        <v>#VALUE!</v>
      </c>
      <c r="U340" s="11" t="e">
        <f ca="1">U333*Asmptn!U$365</f>
        <v>#VALUE!</v>
      </c>
      <c r="V340" s="11" t="e">
        <f ca="1">V333*Asmptn!V$365</f>
        <v>#VALUE!</v>
      </c>
      <c r="W340" s="11" t="e">
        <f ca="1">W333*Asmptn!W$365</f>
        <v>#VALUE!</v>
      </c>
      <c r="X340" s="11" t="e">
        <f ca="1">X333*Asmptn!X$365</f>
        <v>#VALUE!</v>
      </c>
    </row>
    <row r="341" spans="4:24">
      <c r="D341" s="27" t="s">
        <v>215</v>
      </c>
      <c r="K341" s="96" t="e">
        <f ca="1">SUM(L341:X341)</f>
        <v>#VALUE!</v>
      </c>
      <c r="L341" s="11">
        <f>L337*Asmptn!L366</f>
        <v>0</v>
      </c>
      <c r="M341" s="11">
        <f>M337*Asmptn!M366</f>
        <v>0</v>
      </c>
      <c r="N341" s="11">
        <f>N337*Asmptn!N366</f>
        <v>0</v>
      </c>
      <c r="O341" s="11">
        <f>O337*Asmptn!O366</f>
        <v>0</v>
      </c>
      <c r="P341" s="11">
        <f>P337*Asmptn!P366</f>
        <v>0</v>
      </c>
      <c r="Q341" s="11">
        <f>Q337*Asmptn!Q366</f>
        <v>0</v>
      </c>
      <c r="R341" s="11">
        <f>R337*Asmptn!R366</f>
        <v>0</v>
      </c>
      <c r="S341" s="11">
        <f>S337*Asmptn!S366</f>
        <v>0</v>
      </c>
      <c r="T341" s="11">
        <f>T337*Asmptn!T366</f>
        <v>0</v>
      </c>
      <c r="U341" s="11">
        <f>U337*Asmptn!U366</f>
        <v>0</v>
      </c>
      <c r="V341" s="11">
        <f>V337*Asmptn!V366</f>
        <v>0</v>
      </c>
      <c r="W341" s="11" t="e">
        <f ca="1">W337*Asmptn!W366</f>
        <v>#VALUE!</v>
      </c>
      <c r="X341" s="11">
        <f>X337*Asmptn!X366</f>
        <v>0</v>
      </c>
    </row>
    <row r="342" spans="4:24">
      <c r="D342" s="68" t="s">
        <v>322</v>
      </c>
      <c r="K342" s="94" t="e">
        <f ca="1">SUM(L342:X342)</f>
        <v>#VALUE!</v>
      </c>
      <c r="L342" s="22">
        <f t="shared" ref="L342:X342" ca="1" si="96">SUM(L340:L341)</f>
        <v>83.015578683198598</v>
      </c>
      <c r="M342" s="22">
        <f t="shared" ca="1" si="96"/>
        <v>11.706279832692497</v>
      </c>
      <c r="N342" s="22">
        <f t="shared" ca="1" si="96"/>
        <v>6.4936685554354909</v>
      </c>
      <c r="O342" s="22">
        <f t="shared" ca="1" si="96"/>
        <v>5.0693881121825042</v>
      </c>
      <c r="P342" s="22">
        <f t="shared" ca="1" si="96"/>
        <v>-3.0125588181262359</v>
      </c>
      <c r="Q342" s="22" t="e">
        <f t="shared" ca="1" si="96"/>
        <v>#VALUE!</v>
      </c>
      <c r="R342" s="22" t="e">
        <f t="shared" ca="1" si="96"/>
        <v>#VALUE!</v>
      </c>
      <c r="S342" s="22" t="e">
        <f t="shared" ca="1" si="96"/>
        <v>#VALUE!</v>
      </c>
      <c r="T342" s="22" t="e">
        <f t="shared" ca="1" si="96"/>
        <v>#VALUE!</v>
      </c>
      <c r="U342" s="22" t="e">
        <f t="shared" ca="1" si="96"/>
        <v>#VALUE!</v>
      </c>
      <c r="V342" s="22" t="e">
        <f t="shared" ca="1" si="96"/>
        <v>#VALUE!</v>
      </c>
      <c r="W342" s="22" t="e">
        <f t="shared" ca="1" si="96"/>
        <v>#VALUE!</v>
      </c>
      <c r="X342" s="22" t="e">
        <f t="shared" ca="1" si="96"/>
        <v>#VALUE!</v>
      </c>
    </row>
  </sheetData>
  <conditionalFormatting sqref="L157:X158 L272:X272 L315:X315">
    <cfRule type="cellIs" dxfId="6" priority="9" operator="notEqual">
      <formula>Ok</formula>
    </cfRule>
  </conditionalFormatting>
  <conditionalFormatting sqref="K157:K159 K272 K315">
    <cfRule type="cellIs" dxfId="5" priority="8" operator="notEqual">
      <formula>0</formula>
    </cfRule>
  </conditionalFormatting>
  <conditionalFormatting sqref="B2">
    <cfRule type="cellIs" dxfId="4" priority="1" operator="notEqual">
      <formula>"No Errors Found"</formula>
    </cfRule>
  </conditionalFormatting>
  <pageMargins left="0.7" right="0.7" top="0.75" bottom="0.75" header="0.3" footer="0.3"/>
  <pageSetup paperSize="9" fitToHeight="6" orientation="portrait" r:id="rId1"/>
  <headerFooter>
    <oddFooter>&amp;L&amp;1#&amp;"Calibri"&amp;10Sensitivity: Internal</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BC109"/>
  <sheetViews>
    <sheetView showGridLines="0" zoomScaleNormal="100" workbookViewId="0" xr3:uid="{51F8DEE0-4D01-5F28-A812-FC0BD7CAC4A5}">
      <pane xSplit="2" ySplit="6" topLeftCell="C7" activePane="bottomRight" state="frozen"/>
      <selection pane="bottomRight" activeCell="N31" sqref="N31"/>
      <selection pane="bottomLeft" activeCell="I76" sqref="I76"/>
      <selection pane="topRight" activeCell="I76" sqref="I76"/>
    </sheetView>
  </sheetViews>
  <sheetFormatPr defaultRowHeight="11.25" outlineLevelRow="1"/>
  <cols>
    <col min="1" max="3" width="2.83203125" customWidth="1"/>
    <col min="7" max="8" width="10.1640625" customWidth="1"/>
    <col min="9" max="11" width="9.33203125" customWidth="1"/>
    <col min="12" max="12" width="3" customWidth="1"/>
    <col min="27" max="27" width="20" bestFit="1" customWidth="1"/>
    <col min="31" max="32" width="20.33203125" customWidth="1"/>
  </cols>
  <sheetData>
    <row r="2" spans="3:37">
      <c r="C2" s="25" t="s">
        <v>323</v>
      </c>
    </row>
    <row r="3" spans="3:37" hidden="1" outlineLevel="1"/>
    <row r="4" spans="3:37" hidden="1" outlineLevel="1">
      <c r="D4" s="27" t="s">
        <v>324</v>
      </c>
      <c r="E4" s="46">
        <v>4</v>
      </c>
      <c r="F4" s="54" t="str">
        <f>INDEX(Dash_Periods,E4)</f>
        <v>Financial Years</v>
      </c>
    </row>
    <row r="5" spans="3:37" hidden="1" outlineLevel="1">
      <c r="D5" s="27" t="s">
        <v>325</v>
      </c>
      <c r="E5" s="27"/>
      <c r="F5" s="54"/>
      <c r="G5" s="102">
        <f>F5+1</f>
        <v>1</v>
      </c>
      <c r="H5" s="102">
        <f>G5+1</f>
        <v>2</v>
      </c>
      <c r="I5" s="102">
        <f>H5+1</f>
        <v>3</v>
      </c>
      <c r="J5" s="102">
        <f>I5+1</f>
        <v>4</v>
      </c>
      <c r="K5" s="102">
        <f>J5+1</f>
        <v>5</v>
      </c>
      <c r="AA5" s="27" t="s">
        <v>325</v>
      </c>
      <c r="AG5" s="102">
        <f t="shared" ref="AG5:AK6" si="0">G5</f>
        <v>1</v>
      </c>
      <c r="AH5" s="102">
        <f t="shared" si="0"/>
        <v>2</v>
      </c>
      <c r="AI5" s="102">
        <f t="shared" si="0"/>
        <v>3</v>
      </c>
      <c r="AJ5" s="102">
        <f t="shared" si="0"/>
        <v>4</v>
      </c>
      <c r="AK5" s="102">
        <f t="shared" si="0"/>
        <v>5</v>
      </c>
    </row>
    <row r="6" spans="3:37" hidden="1" outlineLevel="1">
      <c r="D6" s="27" t="s">
        <v>326</v>
      </c>
      <c r="E6" s="27"/>
      <c r="F6" s="54"/>
      <c r="G6" s="102">
        <f>MATCH(G5+1,Stmnts!$L$24:$X$24,0)-1</f>
        <v>1</v>
      </c>
      <c r="H6" s="104">
        <f>MATCH(H5+1,Stmnts!$L$24:$X$24,0)-1</f>
        <v>2</v>
      </c>
      <c r="I6" s="102">
        <f>H6+(H6-G6)</f>
        <v>3</v>
      </c>
      <c r="J6" s="102">
        <f>I6+(I6-H6)</f>
        <v>4</v>
      </c>
      <c r="K6" s="102">
        <f>J6+(J6-I6)</f>
        <v>5</v>
      </c>
      <c r="AA6" s="27" t="s">
        <v>327</v>
      </c>
      <c r="AG6" s="102">
        <f t="shared" si="0"/>
        <v>1</v>
      </c>
      <c r="AH6" s="102">
        <f t="shared" si="0"/>
        <v>2</v>
      </c>
      <c r="AI6" s="102">
        <f t="shared" si="0"/>
        <v>3</v>
      </c>
      <c r="AJ6" s="102">
        <f t="shared" si="0"/>
        <v>4</v>
      </c>
      <c r="AK6" s="102">
        <f t="shared" si="0"/>
        <v>5</v>
      </c>
    </row>
    <row r="7" spans="3:37" collapsed="1">
      <c r="D7" s="27"/>
      <c r="E7" s="27"/>
      <c r="F7" s="54"/>
      <c r="G7" s="102"/>
      <c r="H7" s="102"/>
      <c r="I7" s="102"/>
      <c r="J7" s="102"/>
      <c r="K7" s="102"/>
      <c r="AA7" s="27"/>
      <c r="AG7" s="102"/>
      <c r="AH7" s="102"/>
      <c r="AI7" s="102"/>
      <c r="AJ7" s="102"/>
      <c r="AK7" s="102"/>
    </row>
    <row r="8" spans="3:37" ht="19.5">
      <c r="D8" s="24" t="s">
        <v>328</v>
      </c>
      <c r="E8" s="27"/>
      <c r="F8" s="54"/>
    </row>
    <row r="9" spans="3:37">
      <c r="AA9" s="99" t="s">
        <v>329</v>
      </c>
      <c r="AB9" s="99"/>
      <c r="AC9" s="99"/>
      <c r="AD9" s="99"/>
      <c r="AE9" s="99"/>
      <c r="AF9" s="99"/>
      <c r="AG9" s="99"/>
      <c r="AH9" s="99"/>
      <c r="AI9" s="99"/>
      <c r="AJ9" s="99"/>
      <c r="AK9" s="99"/>
    </row>
    <row r="10" spans="3:37">
      <c r="D10" s="110" t="s">
        <v>330</v>
      </c>
      <c r="E10" s="110"/>
      <c r="F10" s="110"/>
      <c r="G10" s="110"/>
      <c r="H10" s="110"/>
      <c r="I10" s="110"/>
      <c r="J10" s="110"/>
      <c r="K10" s="110"/>
      <c r="M10" s="110" t="s">
        <v>331</v>
      </c>
      <c r="N10" s="110"/>
      <c r="O10" s="110"/>
      <c r="P10" s="110"/>
      <c r="Q10" s="110"/>
      <c r="R10" s="110"/>
      <c r="S10" s="110"/>
      <c r="T10" s="110"/>
      <c r="AA10" s="26" t="s">
        <v>332</v>
      </c>
      <c r="AB10" s="26" t="s">
        <v>333</v>
      </c>
      <c r="AC10" s="26" t="s">
        <v>334</v>
      </c>
      <c r="AD10" s="26" t="s">
        <v>335</v>
      </c>
      <c r="AE10" s="26" t="s">
        <v>336</v>
      </c>
      <c r="AF10" s="26"/>
      <c r="AG10" s="105">
        <f ca="1">G12</f>
        <v>41455</v>
      </c>
      <c r="AH10" s="105">
        <f ca="1">H12</f>
        <v>41820</v>
      </c>
      <c r="AI10" s="105">
        <f ca="1">I12</f>
        <v>42185</v>
      </c>
      <c r="AJ10" s="105">
        <f ca="1">J12</f>
        <v>42551</v>
      </c>
      <c r="AK10" s="105">
        <f ca="1">K12</f>
        <v>42916</v>
      </c>
    </row>
    <row r="11" spans="3:37">
      <c r="AA11" s="23">
        <v>1</v>
      </c>
      <c r="AB11" s="23">
        <v>383</v>
      </c>
      <c r="AC11" s="23">
        <v>1</v>
      </c>
      <c r="AD11" s="23" t="s">
        <v>337</v>
      </c>
      <c r="AE11" s="106" t="str">
        <f ca="1">OFFSET(CHOOSE(AA11,Asmptn!$B$1,Stmnts!$B$1),AB11-1,0)&amp;OFFSET(CHOOSE(AA11,Asmptn!$C$1,Stmnts!$C$1),AB11-1,0)&amp;OFFSET(CHOOSE(AA11,Asmptn!$D$1,Stmnts!$D$1),AB11-1,0)&amp;OFFSET(CHOOSE(AA11,Asmptn!$E$1,Stmnts!$E$1),AB11-1,0)</f>
        <v>Revenue Category 2</v>
      </c>
      <c r="AF11" s="9" t="str">
        <f ca="1">AE11</f>
        <v>Revenue Category 2</v>
      </c>
      <c r="AG11" s="107">
        <f ca="1">CHOOSE($AC11,
SUMIF(CHOOSE($AA11,Asmptn!$24:$24,Stmnts!$24:$24),AG$5,OFFSET(CHOOSE($AA11,Asmptn!$1:$1,Stmnts!$1:$1),$AB11-1,0)),
OFFSET(CHOOSE($AA11,Asmptn!$L$1,Stmnts!$L$1),$AB11-1,AG$6-1))*IF($AD11=Yes,-1,1)</f>
        <v>20</v>
      </c>
      <c r="AH11" s="107">
        <f ca="1">CHOOSE($AC11,
SUMIF(CHOOSE($AA11,Asmptn!$24:$24,Stmnts!$24:$24),AH$5,OFFSET(CHOOSE($AA11,Asmptn!$1:$1,Stmnts!$1:$1),$AB11-1,0)),
OFFSET(CHOOSE($AA11,Asmptn!$L$1,Stmnts!$L$1),$AB11-1,AH$6-1))*IF($AD11=Yes,-1,1)</f>
        <v>21.400000000000002</v>
      </c>
      <c r="AI11" s="107">
        <f ca="1">CHOOSE($AC11,
SUMIF(CHOOSE($AA11,Asmptn!$24:$24,Stmnts!$24:$24),AI$5,OFFSET(CHOOSE($AA11,Asmptn!$1:$1,Stmnts!$1:$1),$AB11-1,0)),
OFFSET(CHOOSE($AA11,Asmptn!$L$1,Stmnts!$L$1),$AB11-1,AI$6-1))*IF($AD11=Yes,-1,1)</f>
        <v>22.898000000000003</v>
      </c>
      <c r="AJ11" s="107">
        <f ca="1">CHOOSE($AC11,
SUMIF(CHOOSE($AA11,Asmptn!$24:$24,Stmnts!$24:$24),AJ$5,OFFSET(CHOOSE($AA11,Asmptn!$1:$1,Stmnts!$1:$1),$AB11-1,0)),
OFFSET(CHOOSE($AA11,Asmptn!$L$1,Stmnts!$L$1),$AB11-1,AJ$6-1))*IF($AD11=Yes,-1,1)</f>
        <v>24.500860000000007</v>
      </c>
      <c r="AK11" s="107">
        <f ca="1">CHOOSE($AC11,
SUMIF(CHOOSE($AA11,Asmptn!$24:$24,Stmnts!$24:$24),AK$5,OFFSET(CHOOSE($AA11,Asmptn!$1:$1,Stmnts!$1:$1),$AB11-1,0)),
OFFSET(CHOOSE($AA11,Asmptn!$L$1,Stmnts!$L$1),$AB11-1,AK$6-1))*IF($AD11=Yes,-1,1)</f>
        <v>26.21592020000001</v>
      </c>
    </row>
    <row r="12" spans="3:37">
      <c r="G12" s="105">
        <f ca="1">OFFSET(Stmnts!$7:$7,0,MATCH(G$5,Stmnts!$24:$24,0)-1,1,1)</f>
        <v>41455</v>
      </c>
      <c r="H12" s="105">
        <f ca="1">OFFSET(Stmnts!$7:$7,0,MATCH(H$5,Stmnts!$24:$24,0)-1,1,1)</f>
        <v>41820</v>
      </c>
      <c r="I12" s="105">
        <f ca="1">OFFSET(Stmnts!$7:$7,0,MATCH(I$5,Stmnts!$24:$24,0)-1,1,1)</f>
        <v>42185</v>
      </c>
      <c r="J12" s="105">
        <f ca="1">OFFSET(Stmnts!$7:$7,0,MATCH(J$5,Stmnts!$24:$24,0)-1,1,1)</f>
        <v>42551</v>
      </c>
      <c r="K12" s="105">
        <f ca="1">OFFSET(Stmnts!$7:$7,0,MATCH(K$5,Stmnts!$24:$24,0)-1,1,1)</f>
        <v>42916</v>
      </c>
      <c r="AA12" s="23">
        <v>1</v>
      </c>
      <c r="AB12" s="23">
        <f>AB11+1</f>
        <v>384</v>
      </c>
      <c r="AC12" s="23">
        <v>1</v>
      </c>
      <c r="AD12" s="23" t="s">
        <v>337</v>
      </c>
      <c r="AE12" s="106" t="str">
        <f ca="1">OFFSET(CHOOSE(AA12,Asmptn!$B$1,Stmnts!$B$1),AB12-1,0)&amp;OFFSET(CHOOSE(AA12,Asmptn!$C$1,Stmnts!$C$1),AB12-1,0)&amp;OFFSET(CHOOSE(AA12,Asmptn!$D$1,Stmnts!$D$1),AB12-1,0)&amp;OFFSET(CHOOSE(AA12,Asmptn!$E$1,Stmnts!$E$1),AB12-1,0)</f>
        <v>Revenue Category 3</v>
      </c>
      <c r="AF12" s="9" t="str">
        <f t="shared" ref="AF12:AF22" ca="1" si="1">AE12</f>
        <v>Revenue Category 3</v>
      </c>
      <c r="AG12" s="107">
        <f ca="1">CHOOSE($AC12,
SUMIF(CHOOSE($AA12,Asmptn!$24:$24,Stmnts!$24:$24),AG$5,OFFSET(CHOOSE($AA12,Asmptn!$1:$1,Stmnts!$1:$1),$AB12-1,0)),
OFFSET(CHOOSE($AA12,Asmptn!$L$1,Stmnts!$L$1),$AB12-1,AG$6-1))*IF($AD12=Yes,-1,1)</f>
        <v>20</v>
      </c>
      <c r="AH12" s="107">
        <f ca="1">CHOOSE($AC12,
SUMIF(CHOOSE($AA12,Asmptn!$24:$24,Stmnts!$24:$24),AH$5,OFFSET(CHOOSE($AA12,Asmptn!$1:$1,Stmnts!$1:$1),$AB12-1,0)),
OFFSET(CHOOSE($AA12,Asmptn!$L$1,Stmnts!$L$1),$AB12-1,AH$6-1))*IF($AD12=Yes,-1,1)</f>
        <v>21.6</v>
      </c>
      <c r="AI12" s="107">
        <f ca="1">CHOOSE($AC12,
SUMIF(CHOOSE($AA12,Asmptn!$24:$24,Stmnts!$24:$24),AI$5,OFFSET(CHOOSE($AA12,Asmptn!$1:$1,Stmnts!$1:$1),$AB12-1,0)),
OFFSET(CHOOSE($AA12,Asmptn!$L$1,Stmnts!$L$1),$AB12-1,AI$6-1))*IF($AD12=Yes,-1,1)</f>
        <v>23.328000000000003</v>
      </c>
      <c r="AJ12" s="107">
        <f ca="1">CHOOSE($AC12,
SUMIF(CHOOSE($AA12,Asmptn!$24:$24,Stmnts!$24:$24),AJ$5,OFFSET(CHOOSE($AA12,Asmptn!$1:$1,Stmnts!$1:$1),$AB12-1,0)),
OFFSET(CHOOSE($AA12,Asmptn!$L$1,Stmnts!$L$1),$AB12-1,AJ$6-1))*IF($AD12=Yes,-1,1)</f>
        <v>25.194240000000004</v>
      </c>
      <c r="AK12" s="107">
        <f ca="1">CHOOSE($AC12,
SUMIF(CHOOSE($AA12,Asmptn!$24:$24,Stmnts!$24:$24),AK$5,OFFSET(CHOOSE($AA12,Asmptn!$1:$1,Stmnts!$1:$1),$AB12-1,0)),
OFFSET(CHOOSE($AA12,Asmptn!$L$1,Stmnts!$L$1),$AB12-1,AK$6-1))*IF($AD12=Yes,-1,1)</f>
        <v>27.209779200000007</v>
      </c>
    </row>
    <row r="13" spans="3:37">
      <c r="AA13" s="23">
        <v>1</v>
      </c>
      <c r="AB13" s="23">
        <f>AB12+1</f>
        <v>385</v>
      </c>
      <c r="AC13" s="23">
        <v>1</v>
      </c>
      <c r="AD13" s="23" t="s">
        <v>337</v>
      </c>
      <c r="AE13" s="106" t="str">
        <f ca="1">OFFSET(CHOOSE(AA13,Asmptn!$B$1,Stmnts!$B$1),AB13-1,0)&amp;OFFSET(CHOOSE(AA13,Asmptn!$C$1,Stmnts!$C$1),AB13-1,0)&amp;OFFSET(CHOOSE(AA13,Asmptn!$D$1,Stmnts!$D$1),AB13-1,0)&amp;OFFSET(CHOOSE(AA13,Asmptn!$E$1,Stmnts!$E$1),AB13-1,0)</f>
        <v>Revenue Category 4</v>
      </c>
      <c r="AF13" s="9" t="str">
        <f t="shared" ca="1" si="1"/>
        <v>Revenue Category 4</v>
      </c>
      <c r="AG13" s="107">
        <f ca="1">CHOOSE($AC13,
SUMIF(CHOOSE($AA13,Asmptn!$24:$24,Stmnts!$24:$24),AG$5,OFFSET(CHOOSE($AA13,Asmptn!$1:$1,Stmnts!$1:$1),$AB13-1,0)),
OFFSET(CHOOSE($AA13,Asmptn!$L$1,Stmnts!$L$1),$AB13-1,AG$6-1))*IF($AD13=Yes,-1,1)</f>
        <v>20</v>
      </c>
      <c r="AH13" s="107">
        <f ca="1">CHOOSE($AC13,
SUMIF(CHOOSE($AA13,Asmptn!$24:$24,Stmnts!$24:$24),AH$5,OFFSET(CHOOSE($AA13,Asmptn!$1:$1,Stmnts!$1:$1),$AB13-1,0)),
OFFSET(CHOOSE($AA13,Asmptn!$L$1,Stmnts!$L$1),$AB13-1,AH$6-1))*IF($AD13=Yes,-1,1)</f>
        <v>21.8</v>
      </c>
      <c r="AI13" s="107">
        <f ca="1">CHOOSE($AC13,
SUMIF(CHOOSE($AA13,Asmptn!$24:$24,Stmnts!$24:$24),AI$5,OFFSET(CHOOSE($AA13,Asmptn!$1:$1,Stmnts!$1:$1),$AB13-1,0)),
OFFSET(CHOOSE($AA13,Asmptn!$L$1,Stmnts!$L$1),$AB13-1,AI$6-1))*IF($AD13=Yes,-1,1)</f>
        <v>23.762000000000004</v>
      </c>
      <c r="AJ13" s="107">
        <f ca="1">CHOOSE($AC13,
SUMIF(CHOOSE($AA13,Asmptn!$24:$24,Stmnts!$24:$24),AJ$5,OFFSET(CHOOSE($AA13,Asmptn!$1:$1,Stmnts!$1:$1),$AB13-1,0)),
OFFSET(CHOOSE($AA13,Asmptn!$L$1,Stmnts!$L$1),$AB13-1,AJ$6-1))*IF($AD13=Yes,-1,1)</f>
        <v>25.900580000000005</v>
      </c>
      <c r="AK13" s="107">
        <f ca="1">CHOOSE($AC13,
SUMIF(CHOOSE($AA13,Asmptn!$24:$24,Stmnts!$24:$24),AK$5,OFFSET(CHOOSE($AA13,Asmptn!$1:$1,Stmnts!$1:$1),$AB13-1,0)),
OFFSET(CHOOSE($AA13,Asmptn!$L$1,Stmnts!$L$1),$AB13-1,AK$6-1))*IF($AD13=Yes,-1,1)</f>
        <v>28.231632200000007</v>
      </c>
    </row>
    <row r="14" spans="3:37">
      <c r="AA14" s="23">
        <v>1</v>
      </c>
      <c r="AB14" s="23">
        <f>AB13+1</f>
        <v>386</v>
      </c>
      <c r="AC14" s="23">
        <v>1</v>
      </c>
      <c r="AD14" s="23" t="s">
        <v>337</v>
      </c>
      <c r="AE14" s="106" t="str">
        <f ca="1">OFFSET(CHOOSE(AA14,Asmptn!$B$1,Stmnts!$B$1),AB14-1,0)&amp;OFFSET(CHOOSE(AA14,Asmptn!$C$1,Stmnts!$C$1),AB14-1,0)&amp;OFFSET(CHOOSE(AA14,Asmptn!$D$1,Stmnts!$D$1),AB14-1,0)&amp;OFFSET(CHOOSE(AA14,Asmptn!$E$1,Stmnts!$E$1),AB14-1,0)</f>
        <v>Revenue Category 5</v>
      </c>
      <c r="AF14" s="9" t="str">
        <f t="shared" ca="1" si="1"/>
        <v>Revenue Category 5</v>
      </c>
      <c r="AG14" s="107">
        <f ca="1">CHOOSE($AC14,
SUMIF(CHOOSE($AA14,Asmptn!$24:$24,Stmnts!$24:$24),AG$5,OFFSET(CHOOSE($AA14,Asmptn!$1:$1,Stmnts!$1:$1),$AB14-1,0)),
OFFSET(CHOOSE($AA14,Asmptn!$L$1,Stmnts!$L$1),$AB14-1,AG$6-1))*IF($AD14=Yes,-1,1)</f>
        <v>20</v>
      </c>
      <c r="AH14" s="107">
        <f ca="1">CHOOSE($AC14,
SUMIF(CHOOSE($AA14,Asmptn!$24:$24,Stmnts!$24:$24),AH$5,OFFSET(CHOOSE($AA14,Asmptn!$1:$1,Stmnts!$1:$1),$AB14-1,0)),
OFFSET(CHOOSE($AA14,Asmptn!$L$1,Stmnts!$L$1),$AB14-1,AH$6-1))*IF($AD14=Yes,-1,1)</f>
        <v>22</v>
      </c>
      <c r="AI14" s="107">
        <f ca="1">CHOOSE($AC14,
SUMIF(CHOOSE($AA14,Asmptn!$24:$24,Stmnts!$24:$24),AI$5,OFFSET(CHOOSE($AA14,Asmptn!$1:$1,Stmnts!$1:$1),$AB14-1,0)),
OFFSET(CHOOSE($AA14,Asmptn!$L$1,Stmnts!$L$1),$AB14-1,AI$6-1))*IF($AD14=Yes,-1,1)</f>
        <v>24.200000000000003</v>
      </c>
      <c r="AJ14" s="107">
        <f ca="1">CHOOSE($AC14,
SUMIF(CHOOSE($AA14,Asmptn!$24:$24,Stmnts!$24:$24),AJ$5,OFFSET(CHOOSE($AA14,Asmptn!$1:$1,Stmnts!$1:$1),$AB14-1,0)),
OFFSET(CHOOSE($AA14,Asmptn!$L$1,Stmnts!$L$1),$AB14-1,AJ$6-1))*IF($AD14=Yes,-1,1)</f>
        <v>26.620000000000005</v>
      </c>
      <c r="AK14" s="107">
        <f ca="1">CHOOSE($AC14,
SUMIF(CHOOSE($AA14,Asmptn!$24:$24,Stmnts!$24:$24),AK$5,OFFSET(CHOOSE($AA14,Asmptn!$1:$1,Stmnts!$1:$1),$AB14-1,0)),
OFFSET(CHOOSE($AA14,Asmptn!$L$1,Stmnts!$L$1),$AB14-1,AK$6-1))*IF($AD14=Yes,-1,1)</f>
        <v>29.282000000000007</v>
      </c>
    </row>
    <row r="15" spans="3:37">
      <c r="D15" s="28" t="str">
        <f>Stmnts!D37</f>
        <v>Total Revenue</v>
      </c>
      <c r="G15" s="11">
        <f>SUMIF(Stmnts!$24:$24,G$5,Stmnts!37:37)</f>
        <v>100</v>
      </c>
      <c r="H15" s="11">
        <f>SUMIF(Stmnts!$24:$24,H$5,Stmnts!37:37)</f>
        <v>108.00000000000001</v>
      </c>
      <c r="I15" s="11">
        <f>SUMIF(Stmnts!$24:$24,I$5,Stmnts!37:37)</f>
        <v>116.66000000000001</v>
      </c>
      <c r="J15" s="11">
        <f>SUMIF(Stmnts!$24:$24,J$5,Stmnts!37:37)</f>
        <v>126.03600000000003</v>
      </c>
      <c r="K15" s="11">
        <f>SUMIF(Stmnts!$24:$24,K$5,Stmnts!37:37)</f>
        <v>136.18887080000005</v>
      </c>
      <c r="AA15" s="23">
        <v>1</v>
      </c>
      <c r="AB15" s="23">
        <f>AB14+1</f>
        <v>387</v>
      </c>
      <c r="AC15" s="23">
        <v>1</v>
      </c>
      <c r="AD15" s="23" t="s">
        <v>337</v>
      </c>
      <c r="AE15" s="106" t="str">
        <f ca="1">OFFSET(CHOOSE(AA15,Asmptn!$B$1,Stmnts!$B$1),AB15-1,0)&amp;OFFSET(CHOOSE(AA15,Asmptn!$C$1,Stmnts!$C$1),AB15-1,0)&amp;OFFSET(CHOOSE(AA15,Asmptn!$D$1,Stmnts!$D$1),AB15-1,0)&amp;OFFSET(CHOOSE(AA15,Asmptn!$E$1,Stmnts!$E$1),AB15-1,0)</f>
        <v>Sub Total</v>
      </c>
      <c r="AF15" s="9" t="str">
        <f t="shared" ca="1" si="1"/>
        <v>Sub Total</v>
      </c>
      <c r="AG15" s="107">
        <f ca="1">CHOOSE($AC15,
SUMIF(CHOOSE($AA15,Asmptn!$24:$24,Stmnts!$24:$24),AG$5,OFFSET(CHOOSE($AA15,Asmptn!$1:$1,Stmnts!$1:$1),$AB15-1,0)),
OFFSET(CHOOSE($AA15,Asmptn!$L$1,Stmnts!$L$1),$AB15-1,AG$6-1))*IF($AD15=Yes,-1,1)</f>
        <v>100</v>
      </c>
      <c r="AH15" s="107">
        <f ca="1">CHOOSE($AC15,
SUMIF(CHOOSE($AA15,Asmptn!$24:$24,Stmnts!$24:$24),AH$5,OFFSET(CHOOSE($AA15,Asmptn!$1:$1,Stmnts!$1:$1),$AB15-1,0)),
OFFSET(CHOOSE($AA15,Asmptn!$L$1,Stmnts!$L$1),$AB15-1,AH$6-1))*IF($AD15=Yes,-1,1)</f>
        <v>108.00000000000001</v>
      </c>
      <c r="AI15" s="107">
        <f ca="1">CHOOSE($AC15,
SUMIF(CHOOSE($AA15,Asmptn!$24:$24,Stmnts!$24:$24),AI$5,OFFSET(CHOOSE($AA15,Asmptn!$1:$1,Stmnts!$1:$1),$AB15-1,0)),
OFFSET(CHOOSE($AA15,Asmptn!$L$1,Stmnts!$L$1),$AB15-1,AI$6-1))*IF($AD15=Yes,-1,1)</f>
        <v>116.66000000000001</v>
      </c>
      <c r="AJ15" s="107">
        <f ca="1">CHOOSE($AC15,
SUMIF(CHOOSE($AA15,Asmptn!$24:$24,Stmnts!$24:$24),AJ$5,OFFSET(CHOOSE($AA15,Asmptn!$1:$1,Stmnts!$1:$1),$AB15-1,0)),
OFFSET(CHOOSE($AA15,Asmptn!$L$1,Stmnts!$L$1),$AB15-1,AJ$6-1))*IF($AD15=Yes,-1,1)</f>
        <v>126.03600000000003</v>
      </c>
      <c r="AK15" s="107">
        <f ca="1">CHOOSE($AC15,
SUMIF(CHOOSE($AA15,Asmptn!$24:$24,Stmnts!$24:$24),AK$5,OFFSET(CHOOSE($AA15,Asmptn!$1:$1,Stmnts!$1:$1),$AB15-1,0)),
OFFSET(CHOOSE($AA15,Asmptn!$L$1,Stmnts!$L$1),$AB15-1,AK$6-1))*IF($AD15=Yes,-1,1)</f>
        <v>136.18887080000005</v>
      </c>
    </row>
    <row r="16" spans="3:37">
      <c r="D16" s="28" t="str">
        <f>Stmnts!D48</f>
        <v>Total Cost of Sales</v>
      </c>
      <c r="G16" s="11">
        <f>SUMIF(Stmnts!$24:$24,G$5,Stmnts!48:48)</f>
        <v>-61.499999999999986</v>
      </c>
      <c r="H16" s="11">
        <f>SUMIF(Stmnts!$24:$24,H$5,Stmnts!48:48)</f>
        <v>-63.037499999999994</v>
      </c>
      <c r="I16" s="11">
        <f>SUMIF(Stmnts!$24:$24,I$5,Stmnts!48:48)</f>
        <v>-64.613437499999989</v>
      </c>
      <c r="J16" s="11">
        <f>SUMIF(Stmnts!$24:$24,J$5,Stmnts!48:48)</f>
        <v>-66.228773437499981</v>
      </c>
      <c r="K16" s="11">
        <f>SUMIF(Stmnts!$24:$24,K$5,Stmnts!48:48)</f>
        <v>-67.884492773437472</v>
      </c>
      <c r="AA16" s="23">
        <v>2</v>
      </c>
      <c r="AB16" s="23">
        <v>48</v>
      </c>
      <c r="AC16" s="23">
        <v>1</v>
      </c>
      <c r="AD16" s="23" t="s">
        <v>338</v>
      </c>
      <c r="AE16" s="106" t="str">
        <f ca="1">OFFSET(CHOOSE(AA16,Asmptn!$B$1,Stmnts!$B$1),AB16-1,0)&amp;OFFSET(CHOOSE(AA16,Asmptn!$C$1,Stmnts!$C$1),AB16-1,0)&amp;OFFSET(CHOOSE(AA16,Asmptn!$D$1,Stmnts!$D$1),AB16-1,0)&amp;OFFSET(CHOOSE(AA16,Asmptn!$E$1,Stmnts!$E$1),AB16-1,0)</f>
        <v>Total Cost of Sales</v>
      </c>
      <c r="AF16" s="9" t="str">
        <f t="shared" ca="1" si="1"/>
        <v>Total Cost of Sales</v>
      </c>
      <c r="AG16" s="107">
        <f ca="1">CHOOSE($AC16,
SUMIF(CHOOSE($AA16,Asmptn!$24:$24,Stmnts!$24:$24),AG$5,OFFSET(CHOOSE($AA16,Asmptn!$1:$1,Stmnts!$1:$1),$AB16-1,0)),
OFFSET(CHOOSE($AA16,Asmptn!$L$1,Stmnts!$L$1),$AB16-1,AG$6-1))*IF($AD16=Yes,-1,1)</f>
        <v>61.499999999999986</v>
      </c>
      <c r="AH16" s="107">
        <f ca="1">CHOOSE($AC16,
SUMIF(CHOOSE($AA16,Asmptn!$24:$24,Stmnts!$24:$24),AH$5,OFFSET(CHOOSE($AA16,Asmptn!$1:$1,Stmnts!$1:$1),$AB16-1,0)),
OFFSET(CHOOSE($AA16,Asmptn!$L$1,Stmnts!$L$1),$AB16-1,AH$6-1))*IF($AD16=Yes,-1,1)</f>
        <v>63.037499999999994</v>
      </c>
      <c r="AI16" s="107">
        <f ca="1">CHOOSE($AC16,
SUMIF(CHOOSE($AA16,Asmptn!$24:$24,Stmnts!$24:$24),AI$5,OFFSET(CHOOSE($AA16,Asmptn!$1:$1,Stmnts!$1:$1),$AB16-1,0)),
OFFSET(CHOOSE($AA16,Asmptn!$L$1,Stmnts!$L$1),$AB16-1,AI$6-1))*IF($AD16=Yes,-1,1)</f>
        <v>64.613437499999989</v>
      </c>
      <c r="AJ16" s="107">
        <f ca="1">CHOOSE($AC16,
SUMIF(CHOOSE($AA16,Asmptn!$24:$24,Stmnts!$24:$24),AJ$5,OFFSET(CHOOSE($AA16,Asmptn!$1:$1,Stmnts!$1:$1),$AB16-1,0)),
OFFSET(CHOOSE($AA16,Asmptn!$L$1,Stmnts!$L$1),$AB16-1,AJ$6-1))*IF($AD16=Yes,-1,1)</f>
        <v>66.228773437499981</v>
      </c>
      <c r="AK16" s="107">
        <f ca="1">CHOOSE($AC16,
SUMIF(CHOOSE($AA16,Asmptn!$24:$24,Stmnts!$24:$24),AK$5,OFFSET(CHOOSE($AA16,Asmptn!$1:$1,Stmnts!$1:$1),$AB16-1,0)),
OFFSET(CHOOSE($AA16,Asmptn!$L$1,Stmnts!$L$1),$AB16-1,AK$6-1))*IF($AD16=Yes,-1,1)</f>
        <v>67.884492773437472</v>
      </c>
    </row>
    <row r="17" spans="4:43">
      <c r="D17" s="26" t="str">
        <f>Stmnts!C50</f>
        <v>Gross Margin</v>
      </c>
      <c r="G17" s="144">
        <f>SUM(G15:G16)</f>
        <v>38.500000000000014</v>
      </c>
      <c r="H17" s="144">
        <f>SUM(H15:H16)</f>
        <v>44.96250000000002</v>
      </c>
      <c r="I17" s="144">
        <f>SUM(I15:I16)</f>
        <v>52.046562500000022</v>
      </c>
      <c r="J17" s="144">
        <f>SUM(J15:J16)</f>
        <v>59.807226562500048</v>
      </c>
      <c r="K17" s="144">
        <f>SUM(K15:K16)</f>
        <v>68.304378026562574</v>
      </c>
      <c r="AA17" s="23">
        <v>2</v>
      </c>
      <c r="AB17" s="23">
        <v>61</v>
      </c>
      <c r="AC17" s="23">
        <v>1</v>
      </c>
      <c r="AD17" s="23" t="s">
        <v>338</v>
      </c>
      <c r="AE17" s="106" t="str">
        <f ca="1">OFFSET(CHOOSE(AA17,Asmptn!$B$1,Stmnts!$B$1),AB17-1,0)&amp;OFFSET(CHOOSE(AA17,Asmptn!$C$1,Stmnts!$C$1),AB17-1,0)&amp;OFFSET(CHOOSE(AA17,Asmptn!$D$1,Stmnts!$D$1),AB17-1,0)&amp;OFFSET(CHOOSE(AA17,Asmptn!$E$1,Stmnts!$E$1),AB17-1,0)</f>
        <v>Total Opex</v>
      </c>
      <c r="AF17" s="9" t="str">
        <f t="shared" ca="1" si="1"/>
        <v>Total Opex</v>
      </c>
      <c r="AG17" s="107">
        <f ca="1">CHOOSE($AC17,
SUMIF(CHOOSE($AA17,Asmptn!$24:$24,Stmnts!$24:$24),AG$5,OFFSET(CHOOSE($AA17,Asmptn!$1:$1,Stmnts!$1:$1),$AB17-1,0)),
OFFSET(CHOOSE($AA17,Asmptn!$L$1,Stmnts!$L$1),$AB17-1,AG$6-1))*IF($AD17=Yes,-1,1)</f>
        <v>6</v>
      </c>
      <c r="AH17" s="107">
        <f ca="1">CHOOSE($AC17,
SUMIF(CHOOSE($AA17,Asmptn!$24:$24,Stmnts!$24:$24),AH$5,OFFSET(CHOOSE($AA17,Asmptn!$1:$1,Stmnts!$1:$1),$AB17-1,0)),
OFFSET(CHOOSE($AA17,Asmptn!$L$1,Stmnts!$L$1),$AB17-1,AH$6-1))*IF($AD17=Yes,-1,1)</f>
        <v>12</v>
      </c>
      <c r="AI17" s="107">
        <f ca="1">CHOOSE($AC17,
SUMIF(CHOOSE($AA17,Asmptn!$24:$24,Stmnts!$24:$24),AI$5,OFFSET(CHOOSE($AA17,Asmptn!$1:$1,Stmnts!$1:$1),$AB17-1,0)),
OFFSET(CHOOSE($AA17,Asmptn!$L$1,Stmnts!$L$1),$AB17-1,AI$6-1))*IF($AD17=Yes,-1,1)</f>
        <v>23</v>
      </c>
      <c r="AJ17" s="107">
        <f ca="1">CHOOSE($AC17,
SUMIF(CHOOSE($AA17,Asmptn!$24:$24,Stmnts!$24:$24),AJ$5,OFFSET(CHOOSE($AA17,Asmptn!$1:$1,Stmnts!$1:$1),$AB17-1,0)),
OFFSET(CHOOSE($AA17,Asmptn!$L$1,Stmnts!$L$1),$AB17-1,AJ$6-1))*IF($AD17=Yes,-1,1)</f>
        <v>33</v>
      </c>
      <c r="AK17" s="107">
        <f ca="1">CHOOSE($AC17,
SUMIF(CHOOSE($AA17,Asmptn!$24:$24,Stmnts!$24:$24),AK$5,OFFSET(CHOOSE($AA17,Asmptn!$1:$1,Stmnts!$1:$1),$AB17-1,0)),
OFFSET(CHOOSE($AA17,Asmptn!$L$1,Stmnts!$L$1),$AB17-1,AK$6-1))*IF($AD17=Yes,-1,1)</f>
        <v>23</v>
      </c>
    </row>
    <row r="18" spans="4:43">
      <c r="AA18" s="23">
        <v>1</v>
      </c>
      <c r="AB18" s="23">
        <v>1</v>
      </c>
      <c r="AC18" s="23">
        <v>1</v>
      </c>
      <c r="AD18" s="23" t="s">
        <v>338</v>
      </c>
      <c r="AE18" s="106" t="str">
        <f ca="1">OFFSET(CHOOSE(AA18,Asmptn!$B$1,Stmnts!$B$1),AB18-1,0)&amp;OFFSET(CHOOSE(AA18,Asmptn!$C$1,Stmnts!$C$1),AB18-1,0)&amp;OFFSET(CHOOSE(AA18,Asmptn!$D$1,Stmnts!$D$1),AB18-1,0)&amp;OFFSET(CHOOSE(AA18,Asmptn!$E$1,Stmnts!$E$1),AB18-1,0)</f>
        <v>Basic Template Model - Assumptions</v>
      </c>
      <c r="AF18" s="9" t="str">
        <f t="shared" ca="1" si="1"/>
        <v>Basic Template Model - Assumptions</v>
      </c>
      <c r="AG18" s="107">
        <f ca="1">CHOOSE($AC18,
SUMIF(CHOOSE($AA18,Asmptn!$24:$24,Stmnts!$24:$24),AG$5,OFFSET(CHOOSE($AA18,Asmptn!$1:$1,Stmnts!$1:$1),$AB18-1,0)),
OFFSET(CHOOSE($AA18,Asmptn!$L$1,Stmnts!$L$1),$AB18-1,AG$6-1))*IF($AD18=Yes,-1,1)</f>
        <v>0</v>
      </c>
      <c r="AH18" s="107">
        <f ca="1">CHOOSE($AC18,
SUMIF(CHOOSE($AA18,Asmptn!$24:$24,Stmnts!$24:$24),AH$5,OFFSET(CHOOSE($AA18,Asmptn!$1:$1,Stmnts!$1:$1),$AB18-1,0)),
OFFSET(CHOOSE($AA18,Asmptn!$L$1,Stmnts!$L$1),$AB18-1,AH$6-1))*IF($AD18=Yes,-1,1)</f>
        <v>0</v>
      </c>
      <c r="AI18" s="107">
        <f ca="1">CHOOSE($AC18,
SUMIF(CHOOSE($AA18,Asmptn!$24:$24,Stmnts!$24:$24),AI$5,OFFSET(CHOOSE($AA18,Asmptn!$1:$1,Stmnts!$1:$1),$AB18-1,0)),
OFFSET(CHOOSE($AA18,Asmptn!$L$1,Stmnts!$L$1),$AB18-1,AI$6-1))*IF($AD18=Yes,-1,1)</f>
        <v>0</v>
      </c>
      <c r="AJ18" s="107">
        <f ca="1">CHOOSE($AC18,
SUMIF(CHOOSE($AA18,Asmptn!$24:$24,Stmnts!$24:$24),AJ$5,OFFSET(CHOOSE($AA18,Asmptn!$1:$1,Stmnts!$1:$1),$AB18-1,0)),
OFFSET(CHOOSE($AA18,Asmptn!$L$1,Stmnts!$L$1),$AB18-1,AJ$6-1))*IF($AD18=Yes,-1,1)</f>
        <v>0</v>
      </c>
      <c r="AK18" s="107">
        <f ca="1">CHOOSE($AC18,
SUMIF(CHOOSE($AA18,Asmptn!$24:$24,Stmnts!$24:$24),AK$5,OFFSET(CHOOSE($AA18,Asmptn!$1:$1,Stmnts!$1:$1),$AB18-1,0)),
OFFSET(CHOOSE($AA18,Asmptn!$L$1,Stmnts!$L$1),$AB18-1,AK$6-1))*IF($AD18=Yes,-1,1)</f>
        <v>0</v>
      </c>
    </row>
    <row r="19" spans="4:43">
      <c r="D19" s="28" t="str">
        <f>Stmnts!D61</f>
        <v>Total Opex</v>
      </c>
      <c r="G19" s="11">
        <f>SUMIF(Stmnts!$24:$24,G$5,Stmnts!61:61)</f>
        <v>-6</v>
      </c>
      <c r="H19" s="11">
        <f>SUMIF(Stmnts!$24:$24,H$5,Stmnts!61:61)</f>
        <v>-12</v>
      </c>
      <c r="I19" s="11">
        <f>SUMIF(Stmnts!$24:$24,I$5,Stmnts!61:61)</f>
        <v>-23</v>
      </c>
      <c r="J19" s="11">
        <f>SUMIF(Stmnts!$24:$24,J$5,Stmnts!61:61)</f>
        <v>-33</v>
      </c>
      <c r="K19" s="11">
        <f>SUMIF(Stmnts!$24:$24,K$5,Stmnts!61:61)</f>
        <v>-23</v>
      </c>
      <c r="AA19" s="23">
        <v>1</v>
      </c>
      <c r="AB19" s="23">
        <v>1</v>
      </c>
      <c r="AC19" s="23">
        <v>1</v>
      </c>
      <c r="AD19" s="23" t="s">
        <v>338</v>
      </c>
      <c r="AE19" s="106" t="str">
        <f ca="1">OFFSET(CHOOSE(AA19,Asmptn!$B$1,Stmnts!$B$1),AB19-1,0)&amp;OFFSET(CHOOSE(AA19,Asmptn!$C$1,Stmnts!$C$1),AB19-1,0)&amp;OFFSET(CHOOSE(AA19,Asmptn!$D$1,Stmnts!$D$1),AB19-1,0)&amp;OFFSET(CHOOSE(AA19,Asmptn!$E$1,Stmnts!$E$1),AB19-1,0)</f>
        <v>Basic Template Model - Assumptions</v>
      </c>
      <c r="AF19" s="9" t="str">
        <f t="shared" ca="1" si="1"/>
        <v>Basic Template Model - Assumptions</v>
      </c>
      <c r="AG19" s="107">
        <f ca="1">CHOOSE($AC19,
SUMIF(CHOOSE($AA19,Asmptn!$24:$24,Stmnts!$24:$24),AG$5,OFFSET(CHOOSE($AA19,Asmptn!$1:$1,Stmnts!$1:$1),$AB19-1,0)),
OFFSET(CHOOSE($AA19,Asmptn!$L$1,Stmnts!$L$1),$AB19-1,AG$6-1))*IF($AD19=Yes,-1,1)</f>
        <v>0</v>
      </c>
      <c r="AH19" s="107">
        <f ca="1">CHOOSE($AC19,
SUMIF(CHOOSE($AA19,Asmptn!$24:$24,Stmnts!$24:$24),AH$5,OFFSET(CHOOSE($AA19,Asmptn!$1:$1,Stmnts!$1:$1),$AB19-1,0)),
OFFSET(CHOOSE($AA19,Asmptn!$L$1,Stmnts!$L$1),$AB19-1,AH$6-1))*IF($AD19=Yes,-1,1)</f>
        <v>0</v>
      </c>
      <c r="AI19" s="107">
        <f ca="1">CHOOSE($AC19,
SUMIF(CHOOSE($AA19,Asmptn!$24:$24,Stmnts!$24:$24),AI$5,OFFSET(CHOOSE($AA19,Asmptn!$1:$1,Stmnts!$1:$1),$AB19-1,0)),
OFFSET(CHOOSE($AA19,Asmptn!$L$1,Stmnts!$L$1),$AB19-1,AI$6-1))*IF($AD19=Yes,-1,1)</f>
        <v>0</v>
      </c>
      <c r="AJ19" s="107">
        <f ca="1">CHOOSE($AC19,
SUMIF(CHOOSE($AA19,Asmptn!$24:$24,Stmnts!$24:$24),AJ$5,OFFSET(CHOOSE($AA19,Asmptn!$1:$1,Stmnts!$1:$1),$AB19-1,0)),
OFFSET(CHOOSE($AA19,Asmptn!$L$1,Stmnts!$L$1),$AB19-1,AJ$6-1))*IF($AD19=Yes,-1,1)</f>
        <v>0</v>
      </c>
      <c r="AK19" s="107">
        <f ca="1">CHOOSE($AC19,
SUMIF(CHOOSE($AA19,Asmptn!$24:$24,Stmnts!$24:$24),AK$5,OFFSET(CHOOSE($AA19,Asmptn!$1:$1,Stmnts!$1:$1),$AB19-1,0)),
OFFSET(CHOOSE($AA19,Asmptn!$L$1,Stmnts!$L$1),$AB19-1,AK$6-1))*IF($AD19=Yes,-1,1)</f>
        <v>0</v>
      </c>
    </row>
    <row r="20" spans="4:43">
      <c r="D20" s="26" t="str">
        <f>Stmnts!C63</f>
        <v>EBITDA</v>
      </c>
      <c r="G20" s="144">
        <f>G19+G17</f>
        <v>32.500000000000014</v>
      </c>
      <c r="H20" s="144">
        <f>H19+H17</f>
        <v>32.96250000000002</v>
      </c>
      <c r="I20" s="144">
        <f>I19+I17</f>
        <v>29.046562500000022</v>
      </c>
      <c r="J20" s="144">
        <f>J19+J17</f>
        <v>26.807226562500048</v>
      </c>
      <c r="K20" s="144">
        <f>K19+K17</f>
        <v>45.304378026562574</v>
      </c>
      <c r="AA20" s="23">
        <v>1</v>
      </c>
      <c r="AB20" s="23">
        <v>1</v>
      </c>
      <c r="AC20" s="23">
        <v>1</v>
      </c>
      <c r="AD20" s="23" t="s">
        <v>338</v>
      </c>
      <c r="AE20" s="106" t="str">
        <f ca="1">OFFSET(CHOOSE(AA20,Asmptn!$B$1,Stmnts!$B$1),AB20-1,0)&amp;OFFSET(CHOOSE(AA20,Asmptn!$C$1,Stmnts!$C$1),AB20-1,0)&amp;OFFSET(CHOOSE(AA20,Asmptn!$D$1,Stmnts!$D$1),AB20-1,0)&amp;OFFSET(CHOOSE(AA20,Asmptn!$E$1,Stmnts!$E$1),AB20-1,0)</f>
        <v>Basic Template Model - Assumptions</v>
      </c>
      <c r="AF20" s="9" t="str">
        <f t="shared" ca="1" si="1"/>
        <v>Basic Template Model - Assumptions</v>
      </c>
      <c r="AG20" s="107">
        <f ca="1">CHOOSE($AC20,
SUMIF(CHOOSE($AA20,Asmptn!$24:$24,Stmnts!$24:$24),AG$5,OFFSET(CHOOSE($AA20,Asmptn!$1:$1,Stmnts!$1:$1),$AB20-1,0)),
OFFSET(CHOOSE($AA20,Asmptn!$L$1,Stmnts!$L$1),$AB20-1,AG$6-1))*IF($AD20=Yes,-1,1)</f>
        <v>0</v>
      </c>
      <c r="AH20" s="107">
        <f ca="1">CHOOSE($AC20,
SUMIF(CHOOSE($AA20,Asmptn!$24:$24,Stmnts!$24:$24),AH$5,OFFSET(CHOOSE($AA20,Asmptn!$1:$1,Stmnts!$1:$1),$AB20-1,0)),
OFFSET(CHOOSE($AA20,Asmptn!$L$1,Stmnts!$L$1),$AB20-1,AH$6-1))*IF($AD20=Yes,-1,1)</f>
        <v>0</v>
      </c>
      <c r="AI20" s="107">
        <f ca="1">CHOOSE($AC20,
SUMIF(CHOOSE($AA20,Asmptn!$24:$24,Stmnts!$24:$24),AI$5,OFFSET(CHOOSE($AA20,Asmptn!$1:$1,Stmnts!$1:$1),$AB20-1,0)),
OFFSET(CHOOSE($AA20,Asmptn!$L$1,Stmnts!$L$1),$AB20-1,AI$6-1))*IF($AD20=Yes,-1,1)</f>
        <v>0</v>
      </c>
      <c r="AJ20" s="107">
        <f ca="1">CHOOSE($AC20,
SUMIF(CHOOSE($AA20,Asmptn!$24:$24,Stmnts!$24:$24),AJ$5,OFFSET(CHOOSE($AA20,Asmptn!$1:$1,Stmnts!$1:$1),$AB20-1,0)),
OFFSET(CHOOSE($AA20,Asmptn!$L$1,Stmnts!$L$1),$AB20-1,AJ$6-1))*IF($AD20=Yes,-1,1)</f>
        <v>0</v>
      </c>
      <c r="AK20" s="107">
        <f ca="1">CHOOSE($AC20,
SUMIF(CHOOSE($AA20,Asmptn!$24:$24,Stmnts!$24:$24),AK$5,OFFSET(CHOOSE($AA20,Asmptn!$1:$1,Stmnts!$1:$1),$AB20-1,0)),
OFFSET(CHOOSE($AA20,Asmptn!$L$1,Stmnts!$L$1),$AB20-1,AK$6-1))*IF($AD20=Yes,-1,1)</f>
        <v>0</v>
      </c>
    </row>
    <row r="21" spans="4:43">
      <c r="AA21" s="23">
        <v>1</v>
      </c>
      <c r="AB21" s="23">
        <v>1</v>
      </c>
      <c r="AC21" s="23">
        <v>1</v>
      </c>
      <c r="AD21" s="23" t="s">
        <v>338</v>
      </c>
      <c r="AE21" s="106" t="str">
        <f ca="1">OFFSET(CHOOSE(AA21,Asmptn!$B$1,Stmnts!$B$1),AB21-1,0)&amp;OFFSET(CHOOSE(AA21,Asmptn!$C$1,Stmnts!$C$1),AB21-1,0)&amp;OFFSET(CHOOSE(AA21,Asmptn!$D$1,Stmnts!$D$1),AB21-1,0)&amp;OFFSET(CHOOSE(AA21,Asmptn!$E$1,Stmnts!$E$1),AB21-1,0)</f>
        <v>Basic Template Model - Assumptions</v>
      </c>
      <c r="AF21" s="9" t="str">
        <f t="shared" ca="1" si="1"/>
        <v>Basic Template Model - Assumptions</v>
      </c>
      <c r="AG21" s="107">
        <f ca="1">CHOOSE($AC21,
SUMIF(CHOOSE($AA21,Asmptn!$24:$24,Stmnts!$24:$24),AG$5,OFFSET(CHOOSE($AA21,Asmptn!$1:$1,Stmnts!$1:$1),$AB21-1,0)),
OFFSET(CHOOSE($AA21,Asmptn!$L$1,Stmnts!$L$1),$AB21-1,AG$6-1))*IF($AD21=Yes,-1,1)</f>
        <v>0</v>
      </c>
      <c r="AH21" s="107">
        <f ca="1">CHOOSE($AC21,
SUMIF(CHOOSE($AA21,Asmptn!$24:$24,Stmnts!$24:$24),AH$5,OFFSET(CHOOSE($AA21,Asmptn!$1:$1,Stmnts!$1:$1),$AB21-1,0)),
OFFSET(CHOOSE($AA21,Asmptn!$L$1,Stmnts!$L$1),$AB21-1,AH$6-1))*IF($AD21=Yes,-1,1)</f>
        <v>0</v>
      </c>
      <c r="AI21" s="107">
        <f ca="1">CHOOSE($AC21,
SUMIF(CHOOSE($AA21,Asmptn!$24:$24,Stmnts!$24:$24),AI$5,OFFSET(CHOOSE($AA21,Asmptn!$1:$1,Stmnts!$1:$1),$AB21-1,0)),
OFFSET(CHOOSE($AA21,Asmptn!$L$1,Stmnts!$L$1),$AB21-1,AI$6-1))*IF($AD21=Yes,-1,1)</f>
        <v>0</v>
      </c>
      <c r="AJ21" s="107">
        <f ca="1">CHOOSE($AC21,
SUMIF(CHOOSE($AA21,Asmptn!$24:$24,Stmnts!$24:$24),AJ$5,OFFSET(CHOOSE($AA21,Asmptn!$1:$1,Stmnts!$1:$1),$AB21-1,0)),
OFFSET(CHOOSE($AA21,Asmptn!$L$1,Stmnts!$L$1),$AB21-1,AJ$6-1))*IF($AD21=Yes,-1,1)</f>
        <v>0</v>
      </c>
      <c r="AK21" s="107">
        <f ca="1">CHOOSE($AC21,
SUMIF(CHOOSE($AA21,Asmptn!$24:$24,Stmnts!$24:$24),AK$5,OFFSET(CHOOSE($AA21,Asmptn!$1:$1,Stmnts!$1:$1),$AB21-1,0)),
OFFSET(CHOOSE($AA21,Asmptn!$L$1,Stmnts!$L$1),$AB21-1,AK$6-1))*IF($AD21=Yes,-1,1)</f>
        <v>0</v>
      </c>
    </row>
    <row r="22" spans="4:43">
      <c r="D22" s="28" t="s">
        <v>339</v>
      </c>
      <c r="G22" s="11">
        <f ca="1">SUMIF(Stmnts!$24:$24,G$5,Stmnts!68:68)</f>
        <v>-7.5</v>
      </c>
      <c r="H22" s="11">
        <f ca="1">SUMIF(Stmnts!$24:$24,H$5,Stmnts!68:68)</f>
        <v>-8.75</v>
      </c>
      <c r="I22" s="11">
        <f ca="1">SUMIF(Stmnts!$24:$24,I$5,Stmnts!68:68)</f>
        <v>-8.75</v>
      </c>
      <c r="J22" s="11">
        <f ca="1">SUMIF(Stmnts!$24:$24,J$5,Stmnts!68:68)</f>
        <v>-8.75</v>
      </c>
      <c r="K22" s="11">
        <f ca="1">SUMIF(Stmnts!$24:$24,K$5,Stmnts!68:68)</f>
        <v>-10.25</v>
      </c>
      <c r="AA22" s="23">
        <v>1</v>
      </c>
      <c r="AB22" s="23">
        <v>1</v>
      </c>
      <c r="AC22" s="23">
        <v>1</v>
      </c>
      <c r="AD22" s="23" t="s">
        <v>338</v>
      </c>
      <c r="AE22" s="106" t="str">
        <f ca="1">OFFSET(CHOOSE(AA22,Asmptn!$B$1,Stmnts!$B$1),AB22-1,0)&amp;OFFSET(CHOOSE(AA22,Asmptn!$C$1,Stmnts!$C$1),AB22-1,0)&amp;OFFSET(CHOOSE(AA22,Asmptn!$D$1,Stmnts!$D$1),AB22-1,0)&amp;OFFSET(CHOOSE(AA22,Asmptn!$E$1,Stmnts!$E$1),AB22-1,0)</f>
        <v>Basic Template Model - Assumptions</v>
      </c>
      <c r="AF22" s="9" t="str">
        <f t="shared" ca="1" si="1"/>
        <v>Basic Template Model - Assumptions</v>
      </c>
      <c r="AG22" s="107">
        <f ca="1">CHOOSE($AC22,
SUMIF(CHOOSE($AA22,Asmptn!$24:$24,Stmnts!$24:$24),AG$5,OFFSET(CHOOSE($AA22,Asmptn!$1:$1,Stmnts!$1:$1),$AB22-1,0)),
OFFSET(CHOOSE($AA22,Asmptn!$L$1,Stmnts!$L$1),$AB22-1,AG$6-1))*IF($AD22=Yes,-1,1)</f>
        <v>0</v>
      </c>
      <c r="AH22" s="107">
        <f ca="1">CHOOSE($AC22,
SUMIF(CHOOSE($AA22,Asmptn!$24:$24,Stmnts!$24:$24),AH$5,OFFSET(CHOOSE($AA22,Asmptn!$1:$1,Stmnts!$1:$1),$AB22-1,0)),
OFFSET(CHOOSE($AA22,Asmptn!$L$1,Stmnts!$L$1),$AB22-1,AH$6-1))*IF($AD22=Yes,-1,1)</f>
        <v>0</v>
      </c>
      <c r="AI22" s="107">
        <f ca="1">CHOOSE($AC22,
SUMIF(CHOOSE($AA22,Asmptn!$24:$24,Stmnts!$24:$24),AI$5,OFFSET(CHOOSE($AA22,Asmptn!$1:$1,Stmnts!$1:$1),$AB22-1,0)),
OFFSET(CHOOSE($AA22,Asmptn!$L$1,Stmnts!$L$1),$AB22-1,AI$6-1))*IF($AD22=Yes,-1,1)</f>
        <v>0</v>
      </c>
      <c r="AJ22" s="107">
        <f ca="1">CHOOSE($AC22,
SUMIF(CHOOSE($AA22,Asmptn!$24:$24,Stmnts!$24:$24),AJ$5,OFFSET(CHOOSE($AA22,Asmptn!$1:$1,Stmnts!$1:$1),$AB22-1,0)),
OFFSET(CHOOSE($AA22,Asmptn!$L$1,Stmnts!$L$1),$AB22-1,AJ$6-1))*IF($AD22=Yes,-1,1)</f>
        <v>0</v>
      </c>
      <c r="AK22" s="107">
        <f ca="1">CHOOSE($AC22,
SUMIF(CHOOSE($AA22,Asmptn!$24:$24,Stmnts!$24:$24),AK$5,OFFSET(CHOOSE($AA22,Asmptn!$1:$1,Stmnts!$1:$1),$AB22-1,0)),
OFFSET(CHOOSE($AA22,Asmptn!$L$1,Stmnts!$L$1),$AB22-1,AK$6-1))*IF($AD22=Yes,-1,1)</f>
        <v>0</v>
      </c>
    </row>
    <row r="23" spans="4:43">
      <c r="D23" s="26" t="str">
        <f>Stmnts!C70</f>
        <v>EBIT</v>
      </c>
      <c r="G23" s="144">
        <f ca="1">G22+G20</f>
        <v>25.000000000000014</v>
      </c>
      <c r="H23" s="144">
        <f ca="1">H22+H20</f>
        <v>24.21250000000002</v>
      </c>
      <c r="I23" s="144">
        <f ca="1">I22+I20</f>
        <v>20.296562500000022</v>
      </c>
      <c r="J23" s="144">
        <f ca="1">J22+J20</f>
        <v>18.057226562500048</v>
      </c>
      <c r="K23" s="144">
        <f ca="1">K22+K20</f>
        <v>35.054378026562574</v>
      </c>
      <c r="AA23" s="23">
        <v>1</v>
      </c>
      <c r="AB23" s="23">
        <v>1</v>
      </c>
      <c r="AC23" s="23">
        <v>1</v>
      </c>
      <c r="AD23" s="23" t="s">
        <v>338</v>
      </c>
      <c r="AE23" s="106" t="str">
        <f ca="1">OFFSET(CHOOSE(AA23,Asmptn!$B$1,Stmnts!$B$1),AB23-1,0)&amp;OFFSET(CHOOSE(AA23,Asmptn!$C$1,Stmnts!$C$1),AB23-1,0)&amp;OFFSET(CHOOSE(AA23,Asmptn!$D$1,Stmnts!$D$1),AB23-1,0)&amp;OFFSET(CHOOSE(AA23,Asmptn!$E$1,Stmnts!$E$1),AB23-1,0)</f>
        <v>Basic Template Model - Assumptions</v>
      </c>
      <c r="AF23" s="9" t="str">
        <f t="shared" ref="AF23:AF28" ca="1" si="2">AE23</f>
        <v>Basic Template Model - Assumptions</v>
      </c>
      <c r="AG23" s="107">
        <f ca="1">CHOOSE($AC23,
SUMIF(CHOOSE($AA23,Asmptn!$24:$24,Stmnts!$24:$24),AG$5,OFFSET(CHOOSE($AA23,Asmptn!$1:$1,Stmnts!$1:$1),$AB23-1,0)),
OFFSET(CHOOSE($AA23,Asmptn!$L$1,Stmnts!$L$1),$AB23-1,AG$6-1))*IF($AD23=Yes,-1,1)</f>
        <v>0</v>
      </c>
      <c r="AH23" s="107">
        <f ca="1">CHOOSE($AC23,
SUMIF(CHOOSE($AA23,Asmptn!$24:$24,Stmnts!$24:$24),AH$5,OFFSET(CHOOSE($AA23,Asmptn!$1:$1,Stmnts!$1:$1),$AB23-1,0)),
OFFSET(CHOOSE($AA23,Asmptn!$L$1,Stmnts!$L$1),$AB23-1,AH$6-1))*IF($AD23=Yes,-1,1)</f>
        <v>0</v>
      </c>
      <c r="AI23" s="107">
        <f ca="1">CHOOSE($AC23,
SUMIF(CHOOSE($AA23,Asmptn!$24:$24,Stmnts!$24:$24),AI$5,OFFSET(CHOOSE($AA23,Asmptn!$1:$1,Stmnts!$1:$1),$AB23-1,0)),
OFFSET(CHOOSE($AA23,Asmptn!$L$1,Stmnts!$L$1),$AB23-1,AI$6-1))*IF($AD23=Yes,-1,1)</f>
        <v>0</v>
      </c>
      <c r="AJ23" s="107">
        <f ca="1">CHOOSE($AC23,
SUMIF(CHOOSE($AA23,Asmptn!$24:$24,Stmnts!$24:$24),AJ$5,OFFSET(CHOOSE($AA23,Asmptn!$1:$1,Stmnts!$1:$1),$AB23-1,0)),
OFFSET(CHOOSE($AA23,Asmptn!$L$1,Stmnts!$L$1),$AB23-1,AJ$6-1))*IF($AD23=Yes,-1,1)</f>
        <v>0</v>
      </c>
      <c r="AK23" s="107">
        <f ca="1">CHOOSE($AC23,
SUMIF(CHOOSE($AA23,Asmptn!$24:$24,Stmnts!$24:$24),AK$5,OFFSET(CHOOSE($AA23,Asmptn!$1:$1,Stmnts!$1:$1),$AB23-1,0)),
OFFSET(CHOOSE($AA23,Asmptn!$L$1,Stmnts!$L$1),$AB23-1,AK$6-1))*IF($AD23=Yes,-1,1)</f>
        <v>0</v>
      </c>
    </row>
    <row r="24" spans="4:43">
      <c r="AA24" s="23">
        <v>1</v>
      </c>
      <c r="AB24" s="23">
        <v>1</v>
      </c>
      <c r="AC24" s="23">
        <v>1</v>
      </c>
      <c r="AD24" s="23" t="s">
        <v>338</v>
      </c>
      <c r="AE24" s="106" t="str">
        <f ca="1">OFFSET(CHOOSE(AA24,Asmptn!$B$1,Stmnts!$B$1),AB24-1,0)&amp;OFFSET(CHOOSE(AA24,Asmptn!$C$1,Stmnts!$C$1),AB24-1,0)&amp;OFFSET(CHOOSE(AA24,Asmptn!$D$1,Stmnts!$D$1),AB24-1,0)&amp;OFFSET(CHOOSE(AA24,Asmptn!$E$1,Stmnts!$E$1),AB24-1,0)</f>
        <v>Basic Template Model - Assumptions</v>
      </c>
      <c r="AF24" s="9" t="str">
        <f t="shared" ca="1" si="2"/>
        <v>Basic Template Model - Assumptions</v>
      </c>
      <c r="AG24" s="107">
        <f ca="1">CHOOSE($AC24,
SUMIF(CHOOSE($AA24,Asmptn!$24:$24,Stmnts!$24:$24),AG$5,OFFSET(CHOOSE($AA24,Asmptn!$1:$1,Stmnts!$1:$1),$AB24-1,0)),
OFFSET(CHOOSE($AA24,Asmptn!$L$1,Stmnts!$L$1),$AB24-1,AG$6-1))*IF($AD24=Yes,-1,1)</f>
        <v>0</v>
      </c>
      <c r="AH24" s="107">
        <f ca="1">CHOOSE($AC24,
SUMIF(CHOOSE($AA24,Asmptn!$24:$24,Stmnts!$24:$24),AH$5,OFFSET(CHOOSE($AA24,Asmptn!$1:$1,Stmnts!$1:$1),$AB24-1,0)),
OFFSET(CHOOSE($AA24,Asmptn!$L$1,Stmnts!$L$1),$AB24-1,AH$6-1))*IF($AD24=Yes,-1,1)</f>
        <v>0</v>
      </c>
      <c r="AI24" s="107">
        <f ca="1">CHOOSE($AC24,
SUMIF(CHOOSE($AA24,Asmptn!$24:$24,Stmnts!$24:$24),AI$5,OFFSET(CHOOSE($AA24,Asmptn!$1:$1,Stmnts!$1:$1),$AB24-1,0)),
OFFSET(CHOOSE($AA24,Asmptn!$L$1,Stmnts!$L$1),$AB24-1,AI$6-1))*IF($AD24=Yes,-1,1)</f>
        <v>0</v>
      </c>
      <c r="AJ24" s="107">
        <f ca="1">CHOOSE($AC24,
SUMIF(CHOOSE($AA24,Asmptn!$24:$24,Stmnts!$24:$24),AJ$5,OFFSET(CHOOSE($AA24,Asmptn!$1:$1,Stmnts!$1:$1),$AB24-1,0)),
OFFSET(CHOOSE($AA24,Asmptn!$L$1,Stmnts!$L$1),$AB24-1,AJ$6-1))*IF($AD24=Yes,-1,1)</f>
        <v>0</v>
      </c>
      <c r="AK24" s="107">
        <f ca="1">CHOOSE($AC24,
SUMIF(CHOOSE($AA24,Asmptn!$24:$24,Stmnts!$24:$24),AK$5,OFFSET(CHOOSE($AA24,Asmptn!$1:$1,Stmnts!$1:$1),$AB24-1,0)),
OFFSET(CHOOSE($AA24,Asmptn!$L$1,Stmnts!$L$1),$AB24-1,AK$6-1))*IF($AD24=Yes,-1,1)</f>
        <v>0</v>
      </c>
    </row>
    <row r="25" spans="4:43">
      <c r="D25" s="28" t="str">
        <f>Stmnts!D75</f>
        <v>Total Interest Expense</v>
      </c>
      <c r="G25" s="11">
        <f>SUMIF(Stmnts!$24:$24,G$5,Stmnts!75:75)</f>
        <v>-1.2375</v>
      </c>
      <c r="H25" s="11">
        <f>SUMIF(Stmnts!$24:$24,H$5,Stmnts!75:75)</f>
        <v>-1.7999999999999998</v>
      </c>
      <c r="I25" s="11">
        <f>SUMIF(Stmnts!$24:$24,I$5,Stmnts!75:75)</f>
        <v>-1.7999999999999998</v>
      </c>
      <c r="J25" s="11">
        <f>SUMIF(Stmnts!$24:$24,J$5,Stmnts!75:75)</f>
        <v>-1.7999999999999998</v>
      </c>
      <c r="K25" s="11">
        <f>SUMIF(Stmnts!$24:$24,K$5,Stmnts!75:75)</f>
        <v>-2.4750000000000001</v>
      </c>
      <c r="AA25" s="23">
        <v>1</v>
      </c>
      <c r="AB25" s="23">
        <v>1</v>
      </c>
      <c r="AC25" s="23">
        <v>1</v>
      </c>
      <c r="AD25" s="23" t="s">
        <v>338</v>
      </c>
      <c r="AE25" s="106" t="str">
        <f ca="1">OFFSET(CHOOSE(AA25,Asmptn!$B$1,Stmnts!$B$1),AB25-1,0)&amp;OFFSET(CHOOSE(AA25,Asmptn!$C$1,Stmnts!$C$1),AB25-1,0)&amp;OFFSET(CHOOSE(AA25,Asmptn!$D$1,Stmnts!$D$1),AB25-1,0)&amp;OFFSET(CHOOSE(AA25,Asmptn!$E$1,Stmnts!$E$1),AB25-1,0)</f>
        <v>Basic Template Model - Assumptions</v>
      </c>
      <c r="AF25" s="9" t="str">
        <f t="shared" ca="1" si="2"/>
        <v>Basic Template Model - Assumptions</v>
      </c>
      <c r="AG25" s="107">
        <f ca="1">CHOOSE($AC25,
SUMIF(CHOOSE($AA25,Asmptn!$24:$24,Stmnts!$24:$24),AG$5,OFFSET(CHOOSE($AA25,Asmptn!$1:$1,Stmnts!$1:$1),$AB25-1,0)),
OFFSET(CHOOSE($AA25,Asmptn!$L$1,Stmnts!$L$1),$AB25-1,AG$6-1))*IF($AD25=Yes,-1,1)</f>
        <v>0</v>
      </c>
      <c r="AH25" s="107">
        <f ca="1">CHOOSE($AC25,
SUMIF(CHOOSE($AA25,Asmptn!$24:$24,Stmnts!$24:$24),AH$5,OFFSET(CHOOSE($AA25,Asmptn!$1:$1,Stmnts!$1:$1),$AB25-1,0)),
OFFSET(CHOOSE($AA25,Asmptn!$L$1,Stmnts!$L$1),$AB25-1,AH$6-1))*IF($AD25=Yes,-1,1)</f>
        <v>0</v>
      </c>
      <c r="AI25" s="107">
        <f ca="1">CHOOSE($AC25,
SUMIF(CHOOSE($AA25,Asmptn!$24:$24,Stmnts!$24:$24),AI$5,OFFSET(CHOOSE($AA25,Asmptn!$1:$1,Stmnts!$1:$1),$AB25-1,0)),
OFFSET(CHOOSE($AA25,Asmptn!$L$1,Stmnts!$L$1),$AB25-1,AI$6-1))*IF($AD25=Yes,-1,1)</f>
        <v>0</v>
      </c>
      <c r="AJ25" s="107">
        <f ca="1">CHOOSE($AC25,
SUMIF(CHOOSE($AA25,Asmptn!$24:$24,Stmnts!$24:$24),AJ$5,OFFSET(CHOOSE($AA25,Asmptn!$1:$1,Stmnts!$1:$1),$AB25-1,0)),
OFFSET(CHOOSE($AA25,Asmptn!$L$1,Stmnts!$L$1),$AB25-1,AJ$6-1))*IF($AD25=Yes,-1,1)</f>
        <v>0</v>
      </c>
      <c r="AK25" s="107">
        <f ca="1">CHOOSE($AC25,
SUMIF(CHOOSE($AA25,Asmptn!$24:$24,Stmnts!$24:$24),AK$5,OFFSET(CHOOSE($AA25,Asmptn!$1:$1,Stmnts!$1:$1),$AB25-1,0)),
OFFSET(CHOOSE($AA25,Asmptn!$L$1,Stmnts!$L$1),$AB25-1,AK$6-1))*IF($AD25=Yes,-1,1)</f>
        <v>0</v>
      </c>
    </row>
    <row r="26" spans="4:43">
      <c r="D26" s="26" t="str">
        <f>Stmnts!C77</f>
        <v>NPBT</v>
      </c>
      <c r="G26" s="144">
        <f ca="1">G25+G23</f>
        <v>23.762500000000014</v>
      </c>
      <c r="H26" s="144">
        <f ca="1">H25+H23</f>
        <v>22.412500000000019</v>
      </c>
      <c r="I26" s="144">
        <f ca="1">I25+I23</f>
        <v>18.496562500000021</v>
      </c>
      <c r="J26" s="144">
        <f ca="1">J25+J23</f>
        <v>16.257226562500048</v>
      </c>
      <c r="K26" s="144">
        <f ca="1">K25+K23</f>
        <v>32.579378026562573</v>
      </c>
      <c r="AA26" s="23">
        <v>1</v>
      </c>
      <c r="AB26" s="23">
        <v>1</v>
      </c>
      <c r="AC26" s="23">
        <v>1</v>
      </c>
      <c r="AD26" s="23" t="s">
        <v>338</v>
      </c>
      <c r="AE26" s="106" t="str">
        <f ca="1">OFFSET(CHOOSE(AA26,Asmptn!$B$1,Stmnts!$B$1),AB26-1,0)&amp;OFFSET(CHOOSE(AA26,Asmptn!$C$1,Stmnts!$C$1),AB26-1,0)&amp;OFFSET(CHOOSE(AA26,Asmptn!$D$1,Stmnts!$D$1),AB26-1,0)&amp;OFFSET(CHOOSE(AA26,Asmptn!$E$1,Stmnts!$E$1),AB26-1,0)</f>
        <v>Basic Template Model - Assumptions</v>
      </c>
      <c r="AF26" s="9" t="str">
        <f t="shared" ca="1" si="2"/>
        <v>Basic Template Model - Assumptions</v>
      </c>
      <c r="AG26" s="107">
        <f ca="1">CHOOSE($AC26,
SUMIF(CHOOSE($AA26,Asmptn!$24:$24,Stmnts!$24:$24),AG$5,OFFSET(CHOOSE($AA26,Asmptn!$1:$1,Stmnts!$1:$1),$AB26-1,0)),
OFFSET(CHOOSE($AA26,Asmptn!$L$1,Stmnts!$L$1),$AB26-1,AG$6-1))*IF($AD26=Yes,-1,1)</f>
        <v>0</v>
      </c>
      <c r="AH26" s="107">
        <f ca="1">CHOOSE($AC26,
SUMIF(CHOOSE($AA26,Asmptn!$24:$24,Stmnts!$24:$24),AH$5,OFFSET(CHOOSE($AA26,Asmptn!$1:$1,Stmnts!$1:$1),$AB26-1,0)),
OFFSET(CHOOSE($AA26,Asmptn!$L$1,Stmnts!$L$1),$AB26-1,AH$6-1))*IF($AD26=Yes,-1,1)</f>
        <v>0</v>
      </c>
      <c r="AI26" s="107">
        <f ca="1">CHOOSE($AC26,
SUMIF(CHOOSE($AA26,Asmptn!$24:$24,Stmnts!$24:$24),AI$5,OFFSET(CHOOSE($AA26,Asmptn!$1:$1,Stmnts!$1:$1),$AB26-1,0)),
OFFSET(CHOOSE($AA26,Asmptn!$L$1,Stmnts!$L$1),$AB26-1,AI$6-1))*IF($AD26=Yes,-1,1)</f>
        <v>0</v>
      </c>
      <c r="AJ26" s="107">
        <f ca="1">CHOOSE($AC26,
SUMIF(CHOOSE($AA26,Asmptn!$24:$24,Stmnts!$24:$24),AJ$5,OFFSET(CHOOSE($AA26,Asmptn!$1:$1,Stmnts!$1:$1),$AB26-1,0)),
OFFSET(CHOOSE($AA26,Asmptn!$L$1,Stmnts!$L$1),$AB26-1,AJ$6-1))*IF($AD26=Yes,-1,1)</f>
        <v>0</v>
      </c>
      <c r="AK26" s="107">
        <f ca="1">CHOOSE($AC26,
SUMIF(CHOOSE($AA26,Asmptn!$24:$24,Stmnts!$24:$24),AK$5,OFFSET(CHOOSE($AA26,Asmptn!$1:$1,Stmnts!$1:$1),$AB26-1,0)),
OFFSET(CHOOSE($AA26,Asmptn!$L$1,Stmnts!$L$1),$AB26-1,AK$6-1))*IF($AD26=Yes,-1,1)</f>
        <v>0</v>
      </c>
    </row>
    <row r="27" spans="4:43">
      <c r="AA27" s="23">
        <v>1</v>
      </c>
      <c r="AB27" s="23">
        <v>1</v>
      </c>
      <c r="AC27" s="23">
        <v>1</v>
      </c>
      <c r="AD27" s="23" t="s">
        <v>338</v>
      </c>
      <c r="AE27" s="106" t="str">
        <f ca="1">OFFSET(CHOOSE(AA27,Asmptn!$B$1,Stmnts!$B$1),AB27-1,0)&amp;OFFSET(CHOOSE(AA27,Asmptn!$C$1,Stmnts!$C$1),AB27-1,0)&amp;OFFSET(CHOOSE(AA27,Asmptn!$D$1,Stmnts!$D$1),AB27-1,0)&amp;OFFSET(CHOOSE(AA27,Asmptn!$E$1,Stmnts!$E$1),AB27-1,0)</f>
        <v>Basic Template Model - Assumptions</v>
      </c>
      <c r="AF27" s="9" t="str">
        <f t="shared" ca="1" si="2"/>
        <v>Basic Template Model - Assumptions</v>
      </c>
      <c r="AG27" s="107">
        <f ca="1">CHOOSE($AC27,
SUMIF(CHOOSE($AA27,Asmptn!$24:$24,Stmnts!$24:$24),AG$5,OFFSET(CHOOSE($AA27,Asmptn!$1:$1,Stmnts!$1:$1),$AB27-1,0)),
OFFSET(CHOOSE($AA27,Asmptn!$L$1,Stmnts!$L$1),$AB27-1,AG$6-1))*IF($AD27=Yes,-1,1)</f>
        <v>0</v>
      </c>
      <c r="AH27" s="107">
        <f ca="1">CHOOSE($AC27,
SUMIF(CHOOSE($AA27,Asmptn!$24:$24,Stmnts!$24:$24),AH$5,OFFSET(CHOOSE($AA27,Asmptn!$1:$1,Stmnts!$1:$1),$AB27-1,0)),
OFFSET(CHOOSE($AA27,Asmptn!$L$1,Stmnts!$L$1),$AB27-1,AH$6-1))*IF($AD27=Yes,-1,1)</f>
        <v>0</v>
      </c>
      <c r="AI27" s="107">
        <f ca="1">CHOOSE($AC27,
SUMIF(CHOOSE($AA27,Asmptn!$24:$24,Stmnts!$24:$24),AI$5,OFFSET(CHOOSE($AA27,Asmptn!$1:$1,Stmnts!$1:$1),$AB27-1,0)),
OFFSET(CHOOSE($AA27,Asmptn!$L$1,Stmnts!$L$1),$AB27-1,AI$6-1))*IF($AD27=Yes,-1,1)</f>
        <v>0</v>
      </c>
      <c r="AJ27" s="107">
        <f ca="1">CHOOSE($AC27,
SUMIF(CHOOSE($AA27,Asmptn!$24:$24,Stmnts!$24:$24),AJ$5,OFFSET(CHOOSE($AA27,Asmptn!$1:$1,Stmnts!$1:$1),$AB27-1,0)),
OFFSET(CHOOSE($AA27,Asmptn!$L$1,Stmnts!$L$1),$AB27-1,AJ$6-1))*IF($AD27=Yes,-1,1)</f>
        <v>0</v>
      </c>
      <c r="AK27" s="107">
        <f ca="1">CHOOSE($AC27,
SUMIF(CHOOSE($AA27,Asmptn!$24:$24,Stmnts!$24:$24),AK$5,OFFSET(CHOOSE($AA27,Asmptn!$1:$1,Stmnts!$1:$1),$AB27-1,0)),
OFFSET(CHOOSE($AA27,Asmptn!$L$1,Stmnts!$L$1),$AB27-1,AK$6-1))*IF($AD27=Yes,-1,1)</f>
        <v>0</v>
      </c>
    </row>
    <row r="28" spans="4:43">
      <c r="D28" s="28" t="str">
        <f>Stmnts!D79</f>
        <v>Tax Expense</v>
      </c>
      <c r="G28" s="11">
        <f ca="1">SUMIF(Stmnts!$24:$24,G$5,Stmnts!79:79)</f>
        <v>-8.9287500000000044</v>
      </c>
      <c r="H28" s="11">
        <f ca="1">SUMIF(Stmnts!$24:$24,H$5,Stmnts!79:79)</f>
        <v>-8.523750000000005</v>
      </c>
      <c r="I28" s="11">
        <f ca="1">SUMIF(Stmnts!$24:$24,I$5,Stmnts!79:79)</f>
        <v>-7.3489687500000063</v>
      </c>
      <c r="J28" s="11">
        <f ca="1">SUMIF(Stmnts!$24:$24,J$5,Stmnts!79:79)</f>
        <v>-6.6771679687500143</v>
      </c>
      <c r="K28" s="11">
        <f ca="1">SUMIF(Stmnts!$24:$24,K$5,Stmnts!79:79)</f>
        <v>-11.573813407968771</v>
      </c>
      <c r="AA28" s="23">
        <v>1</v>
      </c>
      <c r="AB28" s="23">
        <v>1</v>
      </c>
      <c r="AC28" s="23">
        <v>1</v>
      </c>
      <c r="AD28" s="23" t="s">
        <v>338</v>
      </c>
      <c r="AE28" s="106" t="str">
        <f ca="1">OFFSET(CHOOSE(AA28,Asmptn!$B$1,Stmnts!$B$1),AB28-1,0)&amp;OFFSET(CHOOSE(AA28,Asmptn!$C$1,Stmnts!$C$1),AB28-1,0)&amp;OFFSET(CHOOSE(AA28,Asmptn!$D$1,Stmnts!$D$1),AB28-1,0)&amp;OFFSET(CHOOSE(AA28,Asmptn!$E$1,Stmnts!$E$1),AB28-1,0)</f>
        <v>Basic Template Model - Assumptions</v>
      </c>
      <c r="AF28" s="9" t="str">
        <f t="shared" ca="1" si="2"/>
        <v>Basic Template Model - Assumptions</v>
      </c>
      <c r="AG28" s="107">
        <f ca="1">CHOOSE($AC28,
SUMIF(CHOOSE($AA28,Asmptn!$24:$24,Stmnts!$24:$24),AG$5,OFFSET(CHOOSE($AA28,Asmptn!$1:$1,Stmnts!$1:$1),$AB28-1,0)),
OFFSET(CHOOSE($AA28,Asmptn!$L$1,Stmnts!$L$1),$AB28-1,AG$6-1))*IF($AD28=Yes,-1,1)</f>
        <v>0</v>
      </c>
      <c r="AH28" s="107">
        <f ca="1">CHOOSE($AC28,
SUMIF(CHOOSE($AA28,Asmptn!$24:$24,Stmnts!$24:$24),AH$5,OFFSET(CHOOSE($AA28,Asmptn!$1:$1,Stmnts!$1:$1),$AB28-1,0)),
OFFSET(CHOOSE($AA28,Asmptn!$L$1,Stmnts!$L$1),$AB28-1,AH$6-1))*IF($AD28=Yes,-1,1)</f>
        <v>0</v>
      </c>
      <c r="AI28" s="107">
        <f ca="1">CHOOSE($AC28,
SUMIF(CHOOSE($AA28,Asmptn!$24:$24,Stmnts!$24:$24),AI$5,OFFSET(CHOOSE($AA28,Asmptn!$1:$1,Stmnts!$1:$1),$AB28-1,0)),
OFFSET(CHOOSE($AA28,Asmptn!$L$1,Stmnts!$L$1),$AB28-1,AI$6-1))*IF($AD28=Yes,-1,1)</f>
        <v>0</v>
      </c>
      <c r="AJ28" s="107">
        <f ca="1">CHOOSE($AC28,
SUMIF(CHOOSE($AA28,Asmptn!$24:$24,Stmnts!$24:$24),AJ$5,OFFSET(CHOOSE($AA28,Asmptn!$1:$1,Stmnts!$1:$1),$AB28-1,0)),
OFFSET(CHOOSE($AA28,Asmptn!$L$1,Stmnts!$L$1),$AB28-1,AJ$6-1))*IF($AD28=Yes,-1,1)</f>
        <v>0</v>
      </c>
      <c r="AK28" s="107">
        <f ca="1">CHOOSE($AC28,
SUMIF(CHOOSE($AA28,Asmptn!$24:$24,Stmnts!$24:$24),AK$5,OFFSET(CHOOSE($AA28,Asmptn!$1:$1,Stmnts!$1:$1),$AB28-1,0)),
OFFSET(CHOOSE($AA28,Asmptn!$L$1,Stmnts!$L$1),$AB28-1,AK$6-1))*IF($AD28=Yes,-1,1)</f>
        <v>0</v>
      </c>
    </row>
    <row r="29" spans="4:43">
      <c r="D29" s="26" t="str">
        <f>Stmnts!C81</f>
        <v>NPAT</v>
      </c>
      <c r="G29" s="145">
        <f ca="1">G28+G26</f>
        <v>14.833750000000009</v>
      </c>
      <c r="H29" s="145">
        <f ca="1">H28+H26</f>
        <v>13.888750000000014</v>
      </c>
      <c r="I29" s="145">
        <f ca="1">I28+I26</f>
        <v>11.147593750000015</v>
      </c>
      <c r="J29" s="145">
        <f ca="1">J28+J26</f>
        <v>9.5800585937500333</v>
      </c>
      <c r="K29" s="145">
        <f ca="1">K28+K26</f>
        <v>21.005564618593802</v>
      </c>
    </row>
    <row r="31" spans="4:43" ht="22.5">
      <c r="AA31" s="148" t="s">
        <v>340</v>
      </c>
      <c r="AB31" s="149" t="s">
        <v>341</v>
      </c>
      <c r="AC31" s="149" t="s">
        <v>342</v>
      </c>
      <c r="AD31" s="150"/>
      <c r="AE31" s="151" t="s">
        <v>343</v>
      </c>
      <c r="AF31" s="151" t="s">
        <v>344</v>
      </c>
      <c r="AG31" s="151" t="s">
        <v>345</v>
      </c>
      <c r="AH31" s="151" t="s">
        <v>346</v>
      </c>
      <c r="AI31" s="151" t="s">
        <v>347</v>
      </c>
      <c r="AJ31" s="151" t="s">
        <v>40</v>
      </c>
      <c r="AK31" s="152"/>
      <c r="AL31" s="151" t="s">
        <v>348</v>
      </c>
      <c r="AM31" s="151" t="s">
        <v>349</v>
      </c>
      <c r="AN31" s="146"/>
      <c r="AO31" s="146"/>
      <c r="AP31" s="146"/>
      <c r="AQ31" s="146"/>
    </row>
    <row r="32" spans="4:43">
      <c r="D32" s="110" t="s">
        <v>350</v>
      </c>
      <c r="E32" s="110"/>
      <c r="F32" s="110"/>
      <c r="G32" s="110"/>
      <c r="H32" s="110"/>
      <c r="I32" s="110"/>
      <c r="J32" s="110"/>
      <c r="K32" s="110"/>
      <c r="M32" s="110" t="s">
        <v>351</v>
      </c>
      <c r="N32" s="110"/>
      <c r="O32" s="110"/>
      <c r="P32" s="110"/>
      <c r="Q32" s="110"/>
      <c r="R32" s="110"/>
      <c r="S32" s="110"/>
      <c r="T32" s="110"/>
      <c r="AA32" s="153" t="str">
        <f ca="1">"Op CF "&amp;TEXT(G$34,"yy")</f>
        <v>Op CF 13</v>
      </c>
      <c r="AB32" s="154">
        <f>G$42</f>
        <v>120.95291095890411</v>
      </c>
      <c r="AC32" s="154">
        <f>AB32</f>
        <v>120.95291095890411</v>
      </c>
      <c r="AD32" s="150"/>
      <c r="AE32" s="154"/>
      <c r="AF32" s="154"/>
      <c r="AG32" s="150"/>
      <c r="AH32" s="150"/>
      <c r="AI32" s="150"/>
      <c r="AJ32" s="155">
        <f>AB32</f>
        <v>120.95291095890411</v>
      </c>
      <c r="AK32" s="156"/>
      <c r="AL32" s="155">
        <f>AB32</f>
        <v>120.95291095890411</v>
      </c>
      <c r="AM32" s="155">
        <f>AVERAGE(N(AC32),N(AC31))</f>
        <v>60.476455479452056</v>
      </c>
      <c r="AN32" s="146"/>
      <c r="AO32" s="146"/>
      <c r="AP32" s="146"/>
      <c r="AQ32" s="146"/>
    </row>
    <row r="33" spans="4:43">
      <c r="AA33" s="153" t="str">
        <f ca="1">"Inv CF "&amp;TEXT(G$34,"yy")</f>
        <v>Inv CF 13</v>
      </c>
      <c r="AB33" s="154">
        <f>G$45</f>
        <v>-25</v>
      </c>
      <c r="AC33" s="154">
        <f>AC32+AB33</f>
        <v>95.952910958904113</v>
      </c>
      <c r="AD33" s="150"/>
      <c r="AE33" s="154">
        <f>MIN(MAX(AB33,AC33),0)</f>
        <v>0</v>
      </c>
      <c r="AF33" s="154">
        <f>MIN(MAX(-AB33,AC32),0)</f>
        <v>0</v>
      </c>
      <c r="AG33" s="154">
        <f>IF(ISERROR(AC33/AC32),0,
IF((AC33/AC32)&lt;0,0,IF(AC32&gt;0,AC32+MIN(0,AB33),MAX(AC33,AC32))))</f>
        <v>95.952910958904113</v>
      </c>
      <c r="AH33" s="154">
        <f>MAX(MIN(-AB33,AC32),0)</f>
        <v>25</v>
      </c>
      <c r="AI33" s="154">
        <f>MAX(MIN(AB33,AC33),0)</f>
        <v>0</v>
      </c>
      <c r="AJ33" s="150"/>
      <c r="AK33" s="156"/>
      <c r="AL33" s="155">
        <f>AB33</f>
        <v>-25</v>
      </c>
      <c r="AM33" s="155">
        <f>AVERAGE(N(AC33),N(AC32))</f>
        <v>108.45291095890411</v>
      </c>
      <c r="AN33" s="146"/>
      <c r="AO33" s="146"/>
      <c r="AP33" s="146"/>
      <c r="AQ33" s="146"/>
    </row>
    <row r="34" spans="4:43">
      <c r="G34" s="105">
        <f ca="1">G12</f>
        <v>41455</v>
      </c>
      <c r="H34" s="105">
        <f ca="1">H12</f>
        <v>41820</v>
      </c>
      <c r="I34" s="105">
        <f ca="1">I12</f>
        <v>42185</v>
      </c>
      <c r="J34" s="105">
        <f ca="1">J12</f>
        <v>42551</v>
      </c>
      <c r="K34" s="105">
        <f ca="1">K12</f>
        <v>42916</v>
      </c>
      <c r="AA34" s="153" t="str">
        <f ca="1">"Fin CF "&amp;TEXT(G$34,"yy")</f>
        <v>Fin CF 13</v>
      </c>
      <c r="AB34" s="154">
        <f ca="1">G$50</f>
        <v>15.248312499999999</v>
      </c>
      <c r="AC34" s="154">
        <f ca="1">AC33+AB34</f>
        <v>111.20122345890411</v>
      </c>
      <c r="AD34" s="150"/>
      <c r="AE34" s="154">
        <f ca="1">MIN(MAX(AB34,AC34),0)</f>
        <v>0</v>
      </c>
      <c r="AF34" s="154">
        <f ca="1">MIN(MAX(-AB34,AC33),0)</f>
        <v>0</v>
      </c>
      <c r="AG34" s="154">
        <f ca="1">IF(ISERROR(AC34/AC33),0,
IF((AC34/AC33)&lt;0,0,IF(AC33&gt;0,AC33+MIN(0,AB34),MAX(AC34,AC33))))</f>
        <v>95.952910958904113</v>
      </c>
      <c r="AH34" s="154">
        <f ca="1">MAX(MIN(-AB34,AC33),0)</f>
        <v>0</v>
      </c>
      <c r="AI34" s="154">
        <f ca="1">MAX(MIN(AB34,AC34),0)</f>
        <v>15.248312499999999</v>
      </c>
      <c r="AJ34" s="150"/>
      <c r="AK34" s="156"/>
      <c r="AL34" s="155">
        <f ca="1">AB34</f>
        <v>15.248312499999999</v>
      </c>
      <c r="AM34" s="155">
        <f ca="1">AVERAGE(N(AC34),N(AC33))</f>
        <v>103.57706720890411</v>
      </c>
      <c r="AN34" s="146"/>
      <c r="AO34" s="146"/>
      <c r="AP34" s="146"/>
      <c r="AQ34" s="146"/>
    </row>
    <row r="35" spans="4:43">
      <c r="D35" s="28" t="str">
        <f>Stmnts!D176</f>
        <v>Total Revenue</v>
      </c>
      <c r="G35" s="11">
        <f>SUMIF(Stmnts!$24:$24,G$5,Stmnts!176:176)</f>
        <v>100</v>
      </c>
      <c r="H35" s="11">
        <f>SUMIF(Stmnts!$24:$24,H$5,Stmnts!176:176)</f>
        <v>108.00000000000001</v>
      </c>
      <c r="I35" s="11">
        <f>SUMIF(Stmnts!$24:$24,I$5,Stmnts!176:176)</f>
        <v>116.66000000000001</v>
      </c>
      <c r="J35" s="11">
        <f>SUMIF(Stmnts!$24:$24,J$5,Stmnts!176:176)</f>
        <v>126.03600000000003</v>
      </c>
      <c r="K35" s="11">
        <f>SUMIF(Stmnts!$24:$24,K$5,Stmnts!176:176)</f>
        <v>136.18887080000005</v>
      </c>
      <c r="AA35" s="153" t="str">
        <f ca="1">"Op CF "&amp;TEXT(H$34,"yy")</f>
        <v>Op CF 14</v>
      </c>
      <c r="AB35" s="154">
        <f ca="1">H$42</f>
        <v>20.778955479452062</v>
      </c>
      <c r="AC35" s="154">
        <f t="shared" ref="AC35:AC43" ca="1" si="3">AC34+AB35</f>
        <v>131.98017893835618</v>
      </c>
      <c r="AD35" s="150"/>
      <c r="AE35" s="154">
        <f t="shared" ref="AE35:AE40" ca="1" si="4">MIN(MAX(AB35,AC35),0)</f>
        <v>0</v>
      </c>
      <c r="AF35" s="154">
        <f t="shared" ref="AF35:AF41" ca="1" si="5">MIN(MAX(-AB35,AC34),0)</f>
        <v>0</v>
      </c>
      <c r="AG35" s="154">
        <f t="shared" ref="AG35:AG41" ca="1" si="6">IF(ISERROR(AC35/AC34),0,
IF((AC35/AC34)&lt;0,0,IF(AC34&gt;0,AC34+MIN(0,AB35),MAX(AC35,AC34))))</f>
        <v>111.20122345890411</v>
      </c>
      <c r="AH35" s="154">
        <f t="shared" ref="AH35:AH41" ca="1" si="7">MAX(MIN(-AB35,AC34),0)</f>
        <v>0</v>
      </c>
      <c r="AI35" s="154">
        <f t="shared" ref="AI35:AI40" ca="1" si="8">MAX(MIN(AB35,AC35),0)</f>
        <v>20.778955479452062</v>
      </c>
      <c r="AJ35" s="150"/>
      <c r="AK35" s="156"/>
      <c r="AL35" s="155">
        <f t="shared" ref="AL35:AL40" ca="1" si="9">AB35</f>
        <v>20.778955479452062</v>
      </c>
      <c r="AM35" s="155">
        <f t="shared" ref="AM35:AM42" ca="1" si="10">AVERAGE(N(AC35),N(AC34))</f>
        <v>121.59070119863014</v>
      </c>
      <c r="AN35" s="146"/>
      <c r="AO35" s="146"/>
      <c r="AP35" s="146"/>
      <c r="AQ35" s="146"/>
    </row>
    <row r="36" spans="4:43">
      <c r="D36" s="28" t="str">
        <f>Stmnts!D179</f>
        <v>∆ Operating Receivables</v>
      </c>
      <c r="G36" s="11">
        <f>SUMIF(Stmnts!$24:$24,G$5,Stmnts!179:179)</f>
        <v>91.780821917808225</v>
      </c>
      <c r="H36" s="11">
        <f>SUMIF(Stmnts!$24:$24,H$5,Stmnts!179:179)</f>
        <v>-0.6575342465753522</v>
      </c>
      <c r="I36" s="11">
        <f>SUMIF(Stmnts!$24:$24,I$5,Stmnts!179:179)</f>
        <v>-0.71178082191779879</v>
      </c>
      <c r="J36" s="11">
        <f>SUMIF(Stmnts!$24:$24,J$5,Stmnts!179:179)</f>
        <v>-0.74232652144621625</v>
      </c>
      <c r="K36" s="11">
        <f>SUMIF(Stmnts!$24:$24,K$5,Stmnts!179:179)</f>
        <v>-0.8627861470469611</v>
      </c>
      <c r="AA36" s="153" t="str">
        <f ca="1">"Inv CF "&amp;TEXT(H$34,"yy")</f>
        <v>Inv CF 14</v>
      </c>
      <c r="AB36" s="154">
        <f>H$45</f>
        <v>0</v>
      </c>
      <c r="AC36" s="154">
        <f t="shared" ca="1" si="3"/>
        <v>131.98017893835618</v>
      </c>
      <c r="AD36" s="150"/>
      <c r="AE36" s="154">
        <f t="shared" ca="1" si="4"/>
        <v>0</v>
      </c>
      <c r="AF36" s="154">
        <f t="shared" ca="1" si="5"/>
        <v>0</v>
      </c>
      <c r="AG36" s="154">
        <f t="shared" ca="1" si="6"/>
        <v>131.98017893835618</v>
      </c>
      <c r="AH36" s="154">
        <f t="shared" ca="1" si="7"/>
        <v>0</v>
      </c>
      <c r="AI36" s="154">
        <f t="shared" ca="1" si="8"/>
        <v>0</v>
      </c>
      <c r="AJ36" s="150"/>
      <c r="AK36" s="156"/>
      <c r="AL36" s="155">
        <f t="shared" si="9"/>
        <v>0</v>
      </c>
      <c r="AM36" s="155">
        <f t="shared" ca="1" si="10"/>
        <v>131.98017893835618</v>
      </c>
      <c r="AQ36" s="146"/>
    </row>
    <row r="37" spans="4:43">
      <c r="D37" s="28" t="str">
        <f>Stmnts!D192</f>
        <v>Total Cost of Sales</v>
      </c>
      <c r="G37" s="11">
        <f>SUMIF(Stmnts!$24:$24,G$5,Stmnts!192:192)</f>
        <v>-61.499999999999986</v>
      </c>
      <c r="H37" s="11">
        <f>SUMIF(Stmnts!$24:$24,H$5,Stmnts!192:192)</f>
        <v>-63.037499999999994</v>
      </c>
      <c r="I37" s="11">
        <f>SUMIF(Stmnts!$24:$24,I$5,Stmnts!192:192)</f>
        <v>-64.613437499999989</v>
      </c>
      <c r="J37" s="11">
        <f>SUMIF(Stmnts!$24:$24,J$5,Stmnts!192:192)</f>
        <v>-66.228773437499981</v>
      </c>
      <c r="K37" s="11">
        <f>SUMIF(Stmnts!$24:$24,K$5,Stmnts!192:192)</f>
        <v>-67.884492773437472</v>
      </c>
      <c r="AA37" s="153" t="str">
        <f ca="1">"Fin CF "&amp;TEXT(H$34,"yy")</f>
        <v>Fin CF 14</v>
      </c>
      <c r="AB37" s="154">
        <f ca="1">H$50</f>
        <v>-8.5335406250000005</v>
      </c>
      <c r="AC37" s="154">
        <f t="shared" ca="1" si="3"/>
        <v>123.44663831335617</v>
      </c>
      <c r="AD37" s="150"/>
      <c r="AE37" s="154">
        <f t="shared" ca="1" si="4"/>
        <v>0</v>
      </c>
      <c r="AF37" s="154">
        <f t="shared" ca="1" si="5"/>
        <v>0</v>
      </c>
      <c r="AG37" s="154">
        <f t="shared" ca="1" si="6"/>
        <v>123.44663831335617</v>
      </c>
      <c r="AH37" s="154">
        <f t="shared" ca="1" si="7"/>
        <v>8.5335406250000005</v>
      </c>
      <c r="AI37" s="154">
        <f t="shared" ca="1" si="8"/>
        <v>0</v>
      </c>
      <c r="AJ37" s="150"/>
      <c r="AK37" s="156"/>
      <c r="AL37" s="155">
        <f t="shared" ca="1" si="9"/>
        <v>-8.5335406250000005</v>
      </c>
      <c r="AM37" s="155">
        <f t="shared" ca="1" si="10"/>
        <v>127.71340862585618</v>
      </c>
      <c r="AQ37" s="146"/>
    </row>
    <row r="38" spans="4:43">
      <c r="D38" s="28" t="str">
        <f>Stmnts!D203</f>
        <v>Total Opex</v>
      </c>
      <c r="G38" s="11">
        <f>SUMIF(Stmnts!$24:$24,G$5,Stmnts!203:203)</f>
        <v>-6</v>
      </c>
      <c r="H38" s="11">
        <f>SUMIF(Stmnts!$24:$24,H$5,Stmnts!203:203)</f>
        <v>-12</v>
      </c>
      <c r="I38" s="11">
        <f>SUMIF(Stmnts!$24:$24,I$5,Stmnts!203:203)</f>
        <v>-23</v>
      </c>
      <c r="J38" s="11">
        <f>SUMIF(Stmnts!$24:$24,J$5,Stmnts!203:203)</f>
        <v>-33</v>
      </c>
      <c r="K38" s="11">
        <f>SUMIF(Stmnts!$24:$24,K$5,Stmnts!203:203)</f>
        <v>-23</v>
      </c>
      <c r="AA38" s="153" t="str">
        <f ca="1">"Op CF "&amp;TEXT(I$34,"yy")</f>
        <v>Op CF 15</v>
      </c>
      <c r="AB38" s="154">
        <f ca="1">I$42</f>
        <v>15.645089897260288</v>
      </c>
      <c r="AC38" s="154">
        <f t="shared" ca="1" si="3"/>
        <v>139.09172821061645</v>
      </c>
      <c r="AD38" s="150"/>
      <c r="AE38" s="154">
        <f t="shared" ca="1" si="4"/>
        <v>0</v>
      </c>
      <c r="AF38" s="154">
        <f t="shared" ca="1" si="5"/>
        <v>0</v>
      </c>
      <c r="AG38" s="154">
        <f t="shared" ca="1" si="6"/>
        <v>123.44663831335617</v>
      </c>
      <c r="AH38" s="154">
        <f t="shared" ca="1" si="7"/>
        <v>0</v>
      </c>
      <c r="AI38" s="154">
        <f t="shared" ca="1" si="8"/>
        <v>15.645089897260288</v>
      </c>
      <c r="AJ38" s="150"/>
      <c r="AK38" s="156"/>
      <c r="AL38" s="155">
        <f t="shared" ca="1" si="9"/>
        <v>15.645089897260288</v>
      </c>
      <c r="AM38" s="155">
        <f t="shared" ca="1" si="10"/>
        <v>131.26918326198631</v>
      </c>
      <c r="AQ38" s="146"/>
    </row>
    <row r="39" spans="4:43">
      <c r="D39" s="28" t="str">
        <f>Stmnts!D207</f>
        <v>∆ Operating Payables</v>
      </c>
      <c r="G39" s="11">
        <f>SUMIF(Stmnts!$24:$24,G$5,Stmnts!207:207)</f>
        <v>0.1095890410958873</v>
      </c>
      <c r="H39" s="11">
        <f>SUMIF(Stmnts!$24:$24,H$5,Stmnts!207:207)</f>
        <v>0.25273972602740002</v>
      </c>
      <c r="I39" s="11">
        <f>SUMIF(Stmnts!$24:$24,I$5,Stmnts!207:207)</f>
        <v>0.25905821917807259</v>
      </c>
      <c r="J39" s="11">
        <f>SUMIF(Stmnts!$24:$24,J$5,Stmnts!207:207)</f>
        <v>0.23578898705927998</v>
      </c>
      <c r="K39" s="11">
        <f>SUMIF(Stmnts!$24:$24,K$5,Stmnts!207:207)</f>
        <v>0.30191872912223516</v>
      </c>
      <c r="AA39" s="153" t="str">
        <f ca="1">"Inv CF "&amp;TEXT(I$34,"yy")</f>
        <v>Inv CF 15</v>
      </c>
      <c r="AB39" s="154">
        <f>I$45</f>
        <v>0</v>
      </c>
      <c r="AC39" s="154">
        <f t="shared" ca="1" si="3"/>
        <v>139.09172821061645</v>
      </c>
      <c r="AD39" s="150"/>
      <c r="AE39" s="154">
        <f t="shared" ca="1" si="4"/>
        <v>0</v>
      </c>
      <c r="AF39" s="154">
        <f t="shared" ca="1" si="5"/>
        <v>0</v>
      </c>
      <c r="AG39" s="154">
        <f t="shared" ca="1" si="6"/>
        <v>139.09172821061645</v>
      </c>
      <c r="AH39" s="154">
        <f t="shared" ca="1" si="7"/>
        <v>0</v>
      </c>
      <c r="AI39" s="154">
        <f t="shared" ca="1" si="8"/>
        <v>0</v>
      </c>
      <c r="AJ39" s="150"/>
      <c r="AK39" s="156"/>
      <c r="AL39" s="155">
        <f t="shared" si="9"/>
        <v>0</v>
      </c>
      <c r="AM39" s="155">
        <f t="shared" ca="1" si="10"/>
        <v>139.09172821061645</v>
      </c>
      <c r="AQ39" s="146"/>
    </row>
    <row r="40" spans="4:43">
      <c r="D40" s="28" t="str">
        <f>Stmnts!D210</f>
        <v>Total Interest Paid</v>
      </c>
      <c r="G40" s="11">
        <f>SUMIF(Stmnts!$24:$24,G$5,Stmnts!210:210)</f>
        <v>-1.2375</v>
      </c>
      <c r="H40" s="11">
        <f>SUMIF(Stmnts!$24:$24,H$5,Stmnts!210:210)</f>
        <v>-1.7999999999999998</v>
      </c>
      <c r="I40" s="11">
        <f>SUMIF(Stmnts!$24:$24,I$5,Stmnts!210:210)</f>
        <v>-1.7999999999999998</v>
      </c>
      <c r="J40" s="11">
        <f>SUMIF(Stmnts!$24:$24,J$5,Stmnts!210:210)</f>
        <v>-1.7999999999999998</v>
      </c>
      <c r="K40" s="11">
        <f>SUMIF(Stmnts!$24:$24,K$5,Stmnts!210:210)</f>
        <v>-2.4750000000000001</v>
      </c>
      <c r="AA40" s="153" t="str">
        <f ca="1">"Fin CF "&amp;TEXT(I$34,"yy")</f>
        <v>Fin CF 15</v>
      </c>
      <c r="AB40" s="154">
        <f ca="1">I$50</f>
        <v>-8.6642432812500019</v>
      </c>
      <c r="AC40" s="154">
        <f t="shared" ca="1" si="3"/>
        <v>130.42748492936644</v>
      </c>
      <c r="AD40" s="150"/>
      <c r="AE40" s="154">
        <f t="shared" ca="1" si="4"/>
        <v>0</v>
      </c>
      <c r="AF40" s="154">
        <f t="shared" ca="1" si="5"/>
        <v>0</v>
      </c>
      <c r="AG40" s="154">
        <f t="shared" ca="1" si="6"/>
        <v>130.42748492936644</v>
      </c>
      <c r="AH40" s="154">
        <f t="shared" ca="1" si="7"/>
        <v>8.6642432812500019</v>
      </c>
      <c r="AI40" s="154">
        <f t="shared" ca="1" si="8"/>
        <v>0</v>
      </c>
      <c r="AJ40" s="150"/>
      <c r="AK40" s="156"/>
      <c r="AL40" s="155">
        <f t="shared" ca="1" si="9"/>
        <v>-8.6642432812500019</v>
      </c>
      <c r="AM40" s="155">
        <f t="shared" ca="1" si="10"/>
        <v>134.75960656999143</v>
      </c>
      <c r="AQ40" s="146"/>
    </row>
    <row r="41" spans="4:43">
      <c r="D41" s="28" t="str">
        <f>Stmnts!D212</f>
        <v>Tax Paid</v>
      </c>
      <c r="G41" s="11">
        <f>SUMIF(Stmnts!$24:$24,G$5,Stmnts!212:212)</f>
        <v>-2.2000000000000002</v>
      </c>
      <c r="H41" s="11">
        <f ca="1">SUMIF(Stmnts!$24:$24,H$5,Stmnts!212:212)</f>
        <v>-9.9787500000000051</v>
      </c>
      <c r="I41" s="11">
        <f ca="1">SUMIF(Stmnts!$24:$24,I$5,Stmnts!212:212)</f>
        <v>-11.148750000000007</v>
      </c>
      <c r="J41" s="11">
        <f ca="1">SUMIF(Stmnts!$24:$24,J$5,Stmnts!212:212)</f>
        <v>-9.9739687500000063</v>
      </c>
      <c r="K41" s="11">
        <f ca="1">SUMIF(Stmnts!$24:$24,K$5,Stmnts!212:212)</f>
        <v>-9.3021679687500143</v>
      </c>
      <c r="AA41" s="153" t="str">
        <f ca="1">"Op CF "&amp;TEXT(J$34,"yy")</f>
        <v>Op CF 16</v>
      </c>
      <c r="AB41" s="154">
        <f ca="1">J$42</f>
        <v>14.526720278113105</v>
      </c>
      <c r="AC41" s="154">
        <f t="shared" ca="1" si="3"/>
        <v>144.95420520747956</v>
      </c>
      <c r="AD41" s="150"/>
      <c r="AE41" s="154">
        <f ca="1">MIN(MAX(AB41,AC41),0)</f>
        <v>0</v>
      </c>
      <c r="AF41" s="154">
        <f t="shared" ca="1" si="5"/>
        <v>0</v>
      </c>
      <c r="AG41" s="154">
        <f t="shared" ca="1" si="6"/>
        <v>130.42748492936644</v>
      </c>
      <c r="AH41" s="154">
        <f t="shared" ca="1" si="7"/>
        <v>0</v>
      </c>
      <c r="AI41" s="154">
        <f ca="1">MAX(MIN(AB41,AC41),0)</f>
        <v>14.526720278113105</v>
      </c>
      <c r="AJ41" s="150"/>
      <c r="AK41" s="156"/>
      <c r="AL41" s="155">
        <f ca="1">AB41</f>
        <v>14.526720278113105</v>
      </c>
      <c r="AM41" s="155">
        <f t="shared" ca="1" si="10"/>
        <v>137.69084506842302</v>
      </c>
      <c r="AQ41" s="146"/>
    </row>
    <row r="42" spans="4:43">
      <c r="D42" s="26" t="str">
        <f>Stmnts!C165</f>
        <v>Operating Cash Flow</v>
      </c>
      <c r="G42" s="22">
        <f>SUM(G35:G41)</f>
        <v>120.95291095890411</v>
      </c>
      <c r="H42" s="22">
        <f ca="1">SUM(H35:H41)</f>
        <v>20.778955479452062</v>
      </c>
      <c r="I42" s="22">
        <f ca="1">SUM(I35:I41)</f>
        <v>15.645089897260288</v>
      </c>
      <c r="J42" s="22">
        <f ca="1">SUM(J35:J41)</f>
        <v>14.526720278113105</v>
      </c>
      <c r="K42" s="22">
        <f ca="1">SUM(K35:K41)</f>
        <v>32.966342639887834</v>
      </c>
      <c r="AA42" s="153" t="str">
        <f ca="1">"Inv CF "&amp;TEXT(J$34,"yy")</f>
        <v>Inv CF 16</v>
      </c>
      <c r="AB42" s="154">
        <f>J$45</f>
        <v>0</v>
      </c>
      <c r="AC42" s="154">
        <f t="shared" ca="1" si="3"/>
        <v>144.95420520747956</v>
      </c>
      <c r="AD42" s="150"/>
      <c r="AE42" s="154">
        <f ca="1">MIN(MAX(AB42,AC42),0)</f>
        <v>0</v>
      </c>
      <c r="AF42" s="154">
        <f ca="1">MIN(MAX(-AB42,AC41),0)</f>
        <v>0</v>
      </c>
      <c r="AG42" s="154">
        <f ca="1">IF(ISERROR(AC42/AC41),0,
IF((AC42/AC41)&lt;0,0,IF(AC41&gt;0,AC41+MIN(0,AB42),MAX(AC42,AC41))))</f>
        <v>144.95420520747956</v>
      </c>
      <c r="AH42" s="154">
        <f ca="1">MAX(MIN(-AB42,AC41),0)</f>
        <v>0</v>
      </c>
      <c r="AI42" s="154">
        <f ca="1">MAX(MIN(AB42,AC42),0)</f>
        <v>0</v>
      </c>
      <c r="AJ42" s="150"/>
      <c r="AK42" s="156"/>
      <c r="AL42" s="155">
        <f>AB42</f>
        <v>0</v>
      </c>
      <c r="AM42" s="155">
        <f t="shared" ca="1" si="10"/>
        <v>144.95420520747956</v>
      </c>
      <c r="AQ42" s="146"/>
    </row>
    <row r="43" spans="4:43">
      <c r="AA43" s="153" t="str">
        <f ca="1">"Fin CF "&amp;TEXT(J$34,"yy")</f>
        <v>Fin CF 16</v>
      </c>
      <c r="AB43" s="154">
        <f ca="1">J$50</f>
        <v>-8.7100340468750037</v>
      </c>
      <c r="AC43" s="154">
        <f t="shared" ca="1" si="3"/>
        <v>136.24417116060457</v>
      </c>
      <c r="AD43" s="150"/>
      <c r="AE43" s="154">
        <f ca="1">MIN(MAX(AB43,AC43),0)</f>
        <v>0</v>
      </c>
      <c r="AF43" s="154">
        <f ca="1">MIN(MAX(-AB43,AC42),0)</f>
        <v>0</v>
      </c>
      <c r="AG43" s="154">
        <f ca="1">IF(ISERROR(AC43/AC42),0,
IF((AC43/AC42)&lt;0,0,IF(AC42&gt;0,AC42+MIN(0,AB43),MAX(AC43,AC42))))</f>
        <v>136.24417116060457</v>
      </c>
      <c r="AH43" s="154">
        <f ca="1">MAX(MIN(-AB43,AC42),0)</f>
        <v>8.7100340468750037</v>
      </c>
      <c r="AI43" s="154">
        <f ca="1">MAX(MIN(AB43,AC43),0)</f>
        <v>0</v>
      </c>
      <c r="AJ43" s="150"/>
      <c r="AK43" s="156"/>
      <c r="AL43" s="155">
        <f ca="1">AB43</f>
        <v>-8.7100340468750037</v>
      </c>
      <c r="AM43" s="155">
        <f ca="1">AVERAGE(N(AC43),N(AC42))</f>
        <v>140.59918818404208</v>
      </c>
      <c r="AQ43" s="146"/>
    </row>
    <row r="44" spans="4:43">
      <c r="D44" s="28" t="s">
        <v>61</v>
      </c>
      <c r="G44" s="11">
        <f>SUMIF(Stmnts!$24:$24,G$5,Stmnts!221:221)</f>
        <v>-25</v>
      </c>
      <c r="H44" s="11">
        <f>SUMIF(Stmnts!$24:$24,H$5,Stmnts!221:221)</f>
        <v>0</v>
      </c>
      <c r="I44" s="11">
        <f>SUMIF(Stmnts!$24:$24,I$5,Stmnts!221:221)</f>
        <v>0</v>
      </c>
      <c r="J44" s="11">
        <f>SUMIF(Stmnts!$24:$24,J$5,Stmnts!221:221)</f>
        <v>0</v>
      </c>
      <c r="K44" s="11">
        <f>SUMIF(Stmnts!$24:$24,K$5,Stmnts!221:221)</f>
        <v>-30</v>
      </c>
      <c r="AA44" s="157" t="s">
        <v>352</v>
      </c>
      <c r="AB44" s="158">
        <f ca="1">SUM(AB32:AB43)</f>
        <v>136.24417116060457</v>
      </c>
      <c r="AC44" s="152"/>
      <c r="AD44" s="150"/>
      <c r="AE44" s="154"/>
      <c r="AF44" s="154"/>
      <c r="AG44" s="150"/>
      <c r="AH44" s="150"/>
      <c r="AI44" s="150"/>
      <c r="AJ44" s="155">
        <f ca="1">AB44</f>
        <v>136.24417116060457</v>
      </c>
      <c r="AK44" s="156"/>
      <c r="AL44" s="155">
        <f ca="1">AB44</f>
        <v>136.24417116060457</v>
      </c>
      <c r="AM44" s="155">
        <f ca="1">AVERAGE(N(AC44),N(AC43))</f>
        <v>68.122085580302283</v>
      </c>
      <c r="AQ44" s="146"/>
    </row>
    <row r="45" spans="4:43">
      <c r="D45" s="26" t="s">
        <v>353</v>
      </c>
      <c r="G45" s="22">
        <f>G44</f>
        <v>-25</v>
      </c>
      <c r="H45" s="22">
        <f>H44</f>
        <v>0</v>
      </c>
      <c r="I45" s="22">
        <f>I44</f>
        <v>0</v>
      </c>
      <c r="J45" s="22">
        <f>J44</f>
        <v>0</v>
      </c>
      <c r="K45" s="22">
        <f>K44</f>
        <v>-30</v>
      </c>
      <c r="AA45" s="146"/>
      <c r="AB45" s="146"/>
      <c r="AC45" s="146"/>
      <c r="AQ45" s="146"/>
    </row>
    <row r="46" spans="4:43">
      <c r="AA46" s="146"/>
      <c r="AB46" s="146"/>
      <c r="AC46" s="146"/>
      <c r="AQ46" s="146"/>
    </row>
    <row r="47" spans="4:43">
      <c r="D47" s="28" t="s">
        <v>354</v>
      </c>
      <c r="G47" s="11">
        <f>SUMIF(Stmnts!$24:$24,G$5,Stmnts!228:228)+SUMIF(Stmnts!$24:$24,G$5,Stmnts!231:231)</f>
        <v>25</v>
      </c>
      <c r="H47" s="11">
        <f>SUMIF(Stmnts!$24:$24,H$5,Stmnts!228:228)+SUMIF(Stmnts!$24:$24,H$5,Stmnts!231:231)</f>
        <v>0</v>
      </c>
      <c r="I47" s="11">
        <f>SUMIF(Stmnts!$24:$24,I$5,Stmnts!228:228)+SUMIF(Stmnts!$24:$24,I$5,Stmnts!231:231)</f>
        <v>0</v>
      </c>
      <c r="J47" s="11">
        <f>SUMIF(Stmnts!$24:$24,J$5,Stmnts!228:228)+SUMIF(Stmnts!$24:$24,J$5,Stmnts!231:231)</f>
        <v>0</v>
      </c>
      <c r="K47" s="11">
        <f>SUMIF(Stmnts!$24:$24,K$5,Stmnts!228:228)+SUMIF(Stmnts!$24:$24,K$5,Stmnts!231:231)</f>
        <v>30</v>
      </c>
      <c r="AC47" s="146"/>
    </row>
    <row r="48" spans="4:43">
      <c r="D48" s="28" t="s">
        <v>355</v>
      </c>
      <c r="G48" s="11">
        <f>SUMIF(Stmnts!$24:$24,G$5,Stmnts!233:233)+SUMIF(Stmnts!$24:$24,G$5,Stmnts!234:234)</f>
        <v>0</v>
      </c>
      <c r="H48" s="11">
        <f>SUMIF(Stmnts!$24:$24,H$5,Stmnts!233:233)+SUMIF(Stmnts!$24:$24,H$5,Stmnts!234:234)</f>
        <v>0</v>
      </c>
      <c r="I48" s="11">
        <f>SUMIF(Stmnts!$24:$24,I$5,Stmnts!233:233)+SUMIF(Stmnts!$24:$24,I$5,Stmnts!234:234)</f>
        <v>0</v>
      </c>
      <c r="J48" s="11">
        <f>SUMIF(Stmnts!$24:$24,J$5,Stmnts!233:233)+SUMIF(Stmnts!$24:$24,J$5,Stmnts!234:234)</f>
        <v>0</v>
      </c>
      <c r="K48" s="11">
        <f>SUMIF(Stmnts!$24:$24,K$5,Stmnts!233:233)+SUMIF(Stmnts!$24:$24,K$5,Stmnts!234:234)</f>
        <v>0</v>
      </c>
      <c r="AC48" s="146"/>
    </row>
    <row r="49" spans="4:42">
      <c r="D49" s="28" t="s">
        <v>133</v>
      </c>
      <c r="G49" s="11">
        <f ca="1">SUMIF(Stmnts!$24:$24,G$5,Stmnts!235:235)</f>
        <v>-9.751687500000001</v>
      </c>
      <c r="H49" s="11">
        <f ca="1">SUMIF(Stmnts!$24:$24,H$5,Stmnts!235:235)</f>
        <v>-8.5335406250000005</v>
      </c>
      <c r="I49" s="11">
        <f ca="1">SUMIF(Stmnts!$24:$24,I$5,Stmnts!235:235)</f>
        <v>-8.6642432812500019</v>
      </c>
      <c r="J49" s="11">
        <f ca="1">SUMIF(Stmnts!$24:$24,J$5,Stmnts!235:235)</f>
        <v>-8.7100340468750037</v>
      </c>
      <c r="K49" s="11">
        <f ca="1">SUMIF(Stmnts!$24:$24,K$5,Stmnts!235:235)</f>
        <v>-9.3248105754609441</v>
      </c>
      <c r="AC49" s="146"/>
    </row>
    <row r="50" spans="4:42">
      <c r="D50" s="26" t="s">
        <v>356</v>
      </c>
      <c r="G50" s="22">
        <f ca="1">SUM(G47:G49)</f>
        <v>15.248312499999999</v>
      </c>
      <c r="H50" s="22">
        <f ca="1">SUM(H47:H49)</f>
        <v>-8.5335406250000005</v>
      </c>
      <c r="I50" s="22">
        <f ca="1">SUM(I47:I49)</f>
        <v>-8.6642432812500019</v>
      </c>
      <c r="J50" s="22">
        <f ca="1">SUM(J47:J49)</f>
        <v>-8.7100340468750037</v>
      </c>
      <c r="K50" s="22">
        <f ca="1">SUM(K47:K49)</f>
        <v>20.675189424539056</v>
      </c>
      <c r="AC50" s="146"/>
      <c r="AD50" s="146"/>
      <c r="AE50" s="146"/>
      <c r="AH50" s="146"/>
      <c r="AI50" s="146"/>
      <c r="AJ50" s="146"/>
      <c r="AK50" s="146"/>
      <c r="AL50" s="146"/>
      <c r="AM50" s="146"/>
      <c r="AN50" s="146"/>
      <c r="AO50" s="146"/>
      <c r="AP50" s="146"/>
    </row>
    <row r="51" spans="4:42">
      <c r="AC51" s="146"/>
      <c r="AD51" s="146"/>
      <c r="AE51" s="146"/>
      <c r="AF51" s="146"/>
      <c r="AG51" s="146"/>
      <c r="AH51" s="146"/>
      <c r="AI51" s="146"/>
      <c r="AJ51" s="146"/>
      <c r="AK51" s="146"/>
      <c r="AL51" s="146"/>
      <c r="AM51" s="146"/>
      <c r="AN51" s="146"/>
      <c r="AO51" s="146"/>
      <c r="AP51" s="146"/>
    </row>
    <row r="52" spans="4:42">
      <c r="D52" s="26" t="s">
        <v>357</v>
      </c>
      <c r="G52" s="22">
        <f ca="1">G42+G45+G50</f>
        <v>111.20122345890411</v>
      </c>
      <c r="H52" s="22">
        <f ca="1">H42+H45+H50</f>
        <v>12.245414854452061</v>
      </c>
      <c r="I52" s="22">
        <f ca="1">I42+I45+I50</f>
        <v>6.980846616010286</v>
      </c>
      <c r="J52" s="22">
        <f ca="1">J42+J45+J50</f>
        <v>5.8166862312381014</v>
      </c>
      <c r="K52" s="22">
        <f ca="1">K42+K45+K50</f>
        <v>23.64153206442689</v>
      </c>
      <c r="AC52" s="146"/>
      <c r="AD52" s="146"/>
      <c r="AE52" s="146"/>
      <c r="AF52" s="146"/>
      <c r="AG52" s="146"/>
      <c r="AH52" s="146"/>
      <c r="AI52" s="146"/>
      <c r="AJ52" s="146"/>
      <c r="AK52" s="146"/>
      <c r="AL52" s="146"/>
      <c r="AM52" s="146"/>
      <c r="AN52" s="146"/>
      <c r="AO52" s="146"/>
      <c r="AP52" s="146"/>
    </row>
    <row r="54" spans="4:42">
      <c r="D54" s="110" t="s">
        <v>237</v>
      </c>
      <c r="E54" s="110"/>
      <c r="F54" s="110"/>
      <c r="G54" s="110"/>
      <c r="H54" s="110"/>
      <c r="I54" s="110"/>
      <c r="J54" s="110"/>
      <c r="K54" s="110"/>
      <c r="M54" s="110" t="s">
        <v>358</v>
      </c>
      <c r="N54" s="110"/>
      <c r="O54" s="110"/>
      <c r="P54" s="110"/>
      <c r="Q54" s="110"/>
      <c r="R54" s="110"/>
      <c r="S54" s="110"/>
      <c r="T54" s="110"/>
    </row>
    <row r="56" spans="4:42">
      <c r="G56" s="105">
        <f ca="1">G34</f>
        <v>41455</v>
      </c>
      <c r="H56" s="105">
        <f ca="1">H34</f>
        <v>41820</v>
      </c>
      <c r="I56" s="105">
        <f ca="1">I34</f>
        <v>42185</v>
      </c>
      <c r="J56" s="105">
        <f ca="1">J34</f>
        <v>42551</v>
      </c>
      <c r="K56" s="105">
        <f ca="1">K34</f>
        <v>42916</v>
      </c>
    </row>
    <row r="58" spans="4:42">
      <c r="D58" s="101" t="s">
        <v>359</v>
      </c>
      <c r="G58" s="11">
        <f ca="1">OFFSET(Stmnts!$L89,0,G$6-1)</f>
        <v>176.20122345890411</v>
      </c>
      <c r="H58" s="11">
        <f ca="1">OFFSET(Stmnts!$L89,0,H$6-1)</f>
        <v>188.44663831335617</v>
      </c>
      <c r="I58" s="11">
        <f ca="1">OFFSET(Stmnts!$L89,0,I$6-1)</f>
        <v>195.42748492936647</v>
      </c>
      <c r="J58" s="11">
        <f ca="1">OFFSET(Stmnts!$L89,0,J$6-1)</f>
        <v>201.24417116060457</v>
      </c>
      <c r="K58" s="11">
        <f ca="1">OFFSET(Stmnts!$L89,0,K$6-1)</f>
        <v>224.88570322503148</v>
      </c>
    </row>
    <row r="59" spans="4:42">
      <c r="D59" s="101" t="s">
        <v>360</v>
      </c>
      <c r="G59" s="11">
        <f ca="1">OFFSET(Stmnts!$L92,0,G$6-1)</f>
        <v>8.2191780821917746</v>
      </c>
      <c r="H59" s="11">
        <f ca="1">OFFSET(Stmnts!$L92,0,H$6-1)</f>
        <v>8.8767123287671268</v>
      </c>
      <c r="I59" s="11">
        <f ca="1">OFFSET(Stmnts!$L92,0,I$6-1)</f>
        <v>9.5884931506849256</v>
      </c>
      <c r="J59" s="11">
        <f ca="1">OFFSET(Stmnts!$L92,0,J$6-1)</f>
        <v>10.330819672131128</v>
      </c>
      <c r="K59" s="11">
        <f ca="1">OFFSET(Stmnts!$L92,0,K$6-1)</f>
        <v>11.193605819178089</v>
      </c>
    </row>
    <row r="60" spans="4:42">
      <c r="D60" s="101" t="s">
        <v>86</v>
      </c>
      <c r="G60" s="11">
        <f ca="1">OFFSET(Stmnts!$L101,0,G$6-1)</f>
        <v>67.5</v>
      </c>
      <c r="H60" s="11">
        <f ca="1">OFFSET(Stmnts!$L101,0,H$6-1)</f>
        <v>58.75</v>
      </c>
      <c r="I60" s="11">
        <f ca="1">OFFSET(Stmnts!$L101,0,I$6-1)</f>
        <v>50</v>
      </c>
      <c r="J60" s="11">
        <f ca="1">OFFSET(Stmnts!$L101,0,J$6-1)</f>
        <v>41.25</v>
      </c>
      <c r="K60" s="11">
        <f ca="1">OFFSET(Stmnts!$L101,0,K$6-1)</f>
        <v>61</v>
      </c>
    </row>
    <row r="61" spans="4:42">
      <c r="D61" s="101" t="s">
        <v>361</v>
      </c>
      <c r="G61" s="11">
        <f ca="1">G62-SUM(G58:G60)</f>
        <v>55</v>
      </c>
      <c r="H61" s="11">
        <f ca="1">H62-SUM(H58:H60)</f>
        <v>55</v>
      </c>
      <c r="I61" s="11">
        <f ca="1">I62-SUM(I58:I60)</f>
        <v>55</v>
      </c>
      <c r="J61" s="11">
        <f ca="1">J62-SUM(J58:J60)</f>
        <v>55</v>
      </c>
      <c r="K61" s="11">
        <f ca="1">K62-SUM(K58:K60)</f>
        <v>55</v>
      </c>
    </row>
    <row r="62" spans="4:42">
      <c r="D62" s="26" t="s">
        <v>248</v>
      </c>
      <c r="G62" s="22">
        <f ca="1">OFFSET(Stmnts!$L109,0,G$6-1)</f>
        <v>306.92040154109588</v>
      </c>
      <c r="H62" s="22">
        <f ca="1">OFFSET(Stmnts!$L109,0,H$6-1)</f>
        <v>311.07335064212327</v>
      </c>
      <c r="I62" s="22">
        <f ca="1">OFFSET(Stmnts!$L109,0,I$6-1)</f>
        <v>310.01597808005141</v>
      </c>
      <c r="J62" s="22">
        <f ca="1">OFFSET(Stmnts!$L109,0,J$6-1)</f>
        <v>307.82499083273569</v>
      </c>
      <c r="K62" s="22">
        <f ca="1">OFFSET(Stmnts!$L109,0,K$6-1)</f>
        <v>352.07930904420959</v>
      </c>
    </row>
    <row r="64" spans="4:42">
      <c r="D64" s="101" t="s">
        <v>362</v>
      </c>
      <c r="G64" s="11">
        <f ca="1">OFFSET(Stmnts!$L115,0,G$6-1)</f>
        <v>20.109589041095887</v>
      </c>
      <c r="H64" s="11">
        <f ca="1">OFFSET(Stmnts!$L115,0,H$6-1)</f>
        <v>20.362328767123287</v>
      </c>
      <c r="I64" s="11">
        <f ca="1">OFFSET(Stmnts!$L115,0,I$6-1)</f>
        <v>20.62138698630136</v>
      </c>
      <c r="J64" s="11">
        <f ca="1">OFFSET(Stmnts!$L115,0,J$6-1)</f>
        <v>20.85717597336064</v>
      </c>
      <c r="K64" s="11">
        <f ca="1">OFFSET(Stmnts!$L115,0,K$6-1)</f>
        <v>21.159094702482875</v>
      </c>
    </row>
    <row r="65" spans="4:28">
      <c r="D65" s="101" t="s">
        <v>154</v>
      </c>
      <c r="G65" s="11">
        <f ca="1">OFFSET(Stmnts!$L120,0,G$6-1)</f>
        <v>9.9787500000000051</v>
      </c>
      <c r="H65" s="11">
        <f ca="1">OFFSET(Stmnts!$L120,0,H$6-1)</f>
        <v>11.148750000000007</v>
      </c>
      <c r="I65" s="11">
        <f ca="1">OFFSET(Stmnts!$L120,0,I$6-1)</f>
        <v>9.9739687500000045</v>
      </c>
      <c r="J65" s="11">
        <f ca="1">OFFSET(Stmnts!$L120,0,J$6-1)</f>
        <v>9.3021679687500107</v>
      </c>
      <c r="K65" s="11">
        <f ca="1">OFFSET(Stmnts!$L120,0,K$6-1)</f>
        <v>14.648813407968765</v>
      </c>
    </row>
    <row r="66" spans="4:28">
      <c r="D66" s="101" t="s">
        <v>113</v>
      </c>
      <c r="G66" s="11">
        <f ca="1">OFFSET(Stmnts!$L131,0,G$6-1)</f>
        <v>40</v>
      </c>
      <c r="H66" s="11">
        <f ca="1">OFFSET(Stmnts!$L131,0,H$6-1)</f>
        <v>40</v>
      </c>
      <c r="I66" s="11">
        <f ca="1">OFFSET(Stmnts!$L131,0,I$6-1)</f>
        <v>40</v>
      </c>
      <c r="J66" s="11">
        <f ca="1">OFFSET(Stmnts!$L131,0,J$6-1)</f>
        <v>40</v>
      </c>
      <c r="K66" s="11">
        <f ca="1">OFFSET(Stmnts!$L131,0,K$6-1)</f>
        <v>70</v>
      </c>
    </row>
    <row r="67" spans="4:28">
      <c r="D67" s="101" t="s">
        <v>363</v>
      </c>
      <c r="G67" s="11">
        <f ca="1">G68-SUM(G64:G66)</f>
        <v>38.549999999999997</v>
      </c>
      <c r="H67" s="11">
        <f ca="1">H68-SUM(H64:H66)</f>
        <v>35.924999999999997</v>
      </c>
      <c r="I67" s="11">
        <f ca="1">I68-SUM(I64:I66)</f>
        <v>33.299999999999983</v>
      </c>
      <c r="J67" s="11">
        <f ca="1">J68-SUM(J64:J66)</f>
        <v>30.674999999999997</v>
      </c>
      <c r="K67" s="11">
        <f ca="1">K68-SUM(K64:K66)</f>
        <v>27.599999999999994</v>
      </c>
    </row>
    <row r="68" spans="4:28">
      <c r="D68" s="100" t="s">
        <v>258</v>
      </c>
      <c r="G68" s="22">
        <f ca="1">OFFSET(Stmnts!$L139,0,G$6-1)</f>
        <v>108.63833904109589</v>
      </c>
      <c r="H68" s="22">
        <f ca="1">OFFSET(Stmnts!$L139,0,H$6-1)</f>
        <v>107.43607876712329</v>
      </c>
      <c r="I68" s="22">
        <f ca="1">OFFSET(Stmnts!$L139,0,I$6-1)</f>
        <v>103.89535573630135</v>
      </c>
      <c r="J68" s="22">
        <f ca="1">OFFSET(Stmnts!$L139,0,J$6-1)</f>
        <v>100.83434394211065</v>
      </c>
      <c r="K68" s="22">
        <f ca="1">OFFSET(Stmnts!$L139,0,K$6-1)</f>
        <v>133.40790811045164</v>
      </c>
    </row>
    <row r="70" spans="4:28">
      <c r="D70" s="101" t="s">
        <v>124</v>
      </c>
      <c r="G70" s="11">
        <f ca="1">G71</f>
        <v>198.28206249999999</v>
      </c>
      <c r="H70" s="11">
        <f ca="1">H71</f>
        <v>203.63727187500001</v>
      </c>
      <c r="I70" s="11">
        <f ca="1">I71</f>
        <v>206.12062234375003</v>
      </c>
      <c r="J70" s="11">
        <f ca="1">J71</f>
        <v>206.99064689062507</v>
      </c>
      <c r="K70" s="11">
        <f ca="1">K71</f>
        <v>218.67140093375792</v>
      </c>
    </row>
    <row r="71" spans="4:28">
      <c r="D71" s="26" t="s">
        <v>263</v>
      </c>
      <c r="G71" s="22">
        <f ca="1">OFFSET(Stmnts!$L154,0,G$6-1)</f>
        <v>198.28206249999999</v>
      </c>
      <c r="H71" s="22">
        <f ca="1">OFFSET(Stmnts!$L154,0,H$6-1)</f>
        <v>203.63727187500001</v>
      </c>
      <c r="I71" s="22">
        <f ca="1">OFFSET(Stmnts!$L154,0,I$6-1)</f>
        <v>206.12062234375003</v>
      </c>
      <c r="J71" s="22">
        <f ca="1">OFFSET(Stmnts!$L154,0,J$6-1)</f>
        <v>206.99064689062507</v>
      </c>
      <c r="K71" s="22">
        <f ca="1">OFFSET(Stmnts!$L154,0,K$6-1)</f>
        <v>218.67140093375792</v>
      </c>
    </row>
    <row r="73" spans="4:28">
      <c r="D73" s="26"/>
      <c r="G73" s="59"/>
      <c r="H73" s="59"/>
      <c r="I73" s="59"/>
      <c r="J73" s="59"/>
      <c r="K73" s="59"/>
    </row>
    <row r="76" spans="4:28">
      <c r="D76" s="110" t="s">
        <v>358</v>
      </c>
      <c r="E76" s="110"/>
      <c r="F76" s="110"/>
      <c r="G76" s="110"/>
      <c r="H76" s="110"/>
      <c r="I76" s="110"/>
      <c r="J76" s="110"/>
      <c r="K76" s="110"/>
      <c r="M76" s="110" t="s">
        <v>364</v>
      </c>
      <c r="N76" s="110"/>
      <c r="O76" s="110"/>
      <c r="P76" s="110"/>
      <c r="Q76" s="110"/>
      <c r="R76" s="110"/>
      <c r="S76" s="110"/>
      <c r="T76" s="110"/>
    </row>
    <row r="78" spans="4:28">
      <c r="G78" s="105">
        <f ca="1">G34</f>
        <v>41455</v>
      </c>
      <c r="H78" s="105">
        <f ca="1">H34</f>
        <v>41820</v>
      </c>
      <c r="I78" s="105">
        <f ca="1">I34</f>
        <v>42185</v>
      </c>
      <c r="J78" s="105">
        <f ca="1">J34</f>
        <v>42551</v>
      </c>
      <c r="K78" s="105">
        <f ca="1">K34</f>
        <v>42916</v>
      </c>
      <c r="W78" s="146"/>
      <c r="X78" s="146"/>
      <c r="Y78" s="146"/>
      <c r="Z78" s="146"/>
      <c r="AA78" s="146"/>
      <c r="AB78" s="146"/>
    </row>
    <row r="79" spans="4:28">
      <c r="W79" s="146"/>
      <c r="X79" s="147"/>
    </row>
    <row r="80" spans="4:28">
      <c r="D80" s="26" t="s">
        <v>365</v>
      </c>
      <c r="G80" s="11"/>
      <c r="H80" s="11"/>
      <c r="I80" s="11"/>
      <c r="J80" s="11"/>
      <c r="K80" s="11"/>
      <c r="W80" s="146"/>
      <c r="X80" s="146"/>
      <c r="Y80" s="146"/>
      <c r="Z80" s="146"/>
      <c r="AA80" s="146"/>
      <c r="AB80" s="146"/>
    </row>
    <row r="81" spans="4:55">
      <c r="W81" s="146"/>
      <c r="X81" s="146"/>
      <c r="Y81" s="146"/>
      <c r="Z81" s="146"/>
      <c r="AA81" s="146"/>
      <c r="AB81" s="146"/>
    </row>
    <row r="82" spans="4:55">
      <c r="D82" s="101" t="s">
        <v>366</v>
      </c>
      <c r="G82" s="15">
        <f>IF(G15=0,0,-(G16+G19)/G15)</f>
        <v>0.67499999999999982</v>
      </c>
      <c r="H82" s="15">
        <f>IF(H15=0,0,-(H16+H19)/H15)</f>
        <v>0.69479166666666647</v>
      </c>
      <c r="I82" s="15">
        <f>IF(I15=0,0,-(I16+I19)/I15)</f>
        <v>0.75101523658494751</v>
      </c>
      <c r="J82" s="15">
        <f>IF(J15=0,0,-(J16+J19)/J15)</f>
        <v>0.78730500362991496</v>
      </c>
      <c r="K82" s="15">
        <f>IF(K15=0,0,-(K16+K19)/K15)</f>
        <v>0.66734155470681411</v>
      </c>
      <c r="W82" s="146"/>
      <c r="X82" s="146"/>
      <c r="Y82" s="146"/>
      <c r="Z82" s="146"/>
      <c r="AA82" s="146"/>
      <c r="AB82" s="146"/>
    </row>
    <row r="83" spans="4:55" ht="11.25" customHeight="1">
      <c r="D83" s="101" t="s">
        <v>367</v>
      </c>
      <c r="G83" s="15">
        <f ca="1">IF(G26=0,0,-G28/G26)</f>
        <v>0.37574960547080483</v>
      </c>
      <c r="H83" s="15">
        <f ca="1">IF(H26=0,0,-H28/H26)</f>
        <v>0.38031232571109863</v>
      </c>
      <c r="I83" s="15">
        <f ca="1">IF(I26=0,0,-I28/I26)</f>
        <v>0.39731537954687518</v>
      </c>
      <c r="J83" s="15">
        <f ca="1">IF(J26=0,0,-J28/J26)</f>
        <v>0.41071999231111134</v>
      </c>
      <c r="K83" s="15">
        <f ca="1">IF(K26=0,0,-K28/K26)</f>
        <v>0.35524967353681297</v>
      </c>
      <c r="W83" s="146"/>
      <c r="X83" s="146"/>
      <c r="Y83" s="146"/>
      <c r="Z83" s="146"/>
      <c r="AA83" s="146"/>
      <c r="AB83" s="146"/>
    </row>
    <row r="84" spans="4:55">
      <c r="D84" s="101" t="s">
        <v>368</v>
      </c>
      <c r="G84" s="15">
        <f ca="1">IF(G15=0,0,G23/G15)</f>
        <v>0.25000000000000017</v>
      </c>
      <c r="H84" s="15">
        <f ca="1">IF(H15=0,0,H23/H15)</f>
        <v>0.22418981481481498</v>
      </c>
      <c r="I84" s="15">
        <f ca="1">IF(I15=0,0,I23/I15)</f>
        <v>0.17398047745585479</v>
      </c>
      <c r="J84" s="15">
        <f ca="1">IF(J15=0,0,J23/J15)</f>
        <v>0.1432703875281669</v>
      </c>
      <c r="K84" s="15">
        <f ca="1">IF(K15=0,0,K23/K15)</f>
        <v>0.2573953203418628</v>
      </c>
      <c r="W84" s="146"/>
      <c r="X84" s="146"/>
      <c r="Y84" s="146"/>
      <c r="Z84" s="146"/>
      <c r="AA84" s="146"/>
      <c r="AB84" s="146"/>
      <c r="AC84" s="146"/>
      <c r="AD84" s="146"/>
      <c r="AE84" s="146"/>
      <c r="AF84" s="146"/>
      <c r="AG84" s="146"/>
      <c r="AH84" s="146"/>
      <c r="AI84" s="146"/>
      <c r="AJ84" s="146"/>
      <c r="AK84" s="146"/>
      <c r="AL84" s="146"/>
    </row>
    <row r="85" spans="4:55">
      <c r="G85" s="11"/>
      <c r="H85" s="11"/>
      <c r="I85" s="11"/>
      <c r="J85" s="11"/>
      <c r="K85" s="11"/>
      <c r="W85" s="146"/>
      <c r="X85" s="146"/>
      <c r="Y85" s="146"/>
      <c r="Z85" s="146"/>
      <c r="AA85" s="146"/>
      <c r="AB85" s="146"/>
    </row>
    <row r="86" spans="4:55">
      <c r="D86" s="26" t="s">
        <v>369</v>
      </c>
      <c r="G86" s="11"/>
      <c r="H86" s="11"/>
      <c r="I86" s="11"/>
      <c r="J86" s="11"/>
      <c r="K86" s="11"/>
      <c r="W86" s="146"/>
      <c r="X86" s="146"/>
      <c r="Y86" s="146"/>
      <c r="Z86" s="146"/>
      <c r="AA86" s="146"/>
      <c r="AB86" s="146"/>
      <c r="AC86" s="146"/>
      <c r="AD86" s="146"/>
      <c r="AE86" s="146"/>
      <c r="AF86" s="146"/>
      <c r="AG86" s="146"/>
      <c r="AH86" s="146"/>
      <c r="AI86" s="146"/>
      <c r="AJ86" s="146"/>
      <c r="AK86" s="146"/>
      <c r="AL86" s="146"/>
    </row>
    <row r="87" spans="4:55">
      <c r="W87" s="146"/>
      <c r="X87" s="146"/>
      <c r="Y87" s="146"/>
      <c r="Z87" s="146"/>
      <c r="AA87" s="146"/>
      <c r="AB87" s="146"/>
      <c r="AC87" s="146"/>
      <c r="AD87" s="146"/>
      <c r="AE87" s="146"/>
      <c r="AF87" s="146"/>
      <c r="AG87" s="146"/>
      <c r="AH87" s="146"/>
      <c r="AI87" s="146"/>
      <c r="AJ87" s="146"/>
      <c r="AK87" s="146"/>
      <c r="AL87" s="146"/>
    </row>
    <row r="88" spans="4:55">
      <c r="D88" s="101" t="s">
        <v>370</v>
      </c>
      <c r="G88" s="15">
        <f ca="1">IF(G71=0,0,G29/G71)</f>
        <v>7.4811356170959784E-2</v>
      </c>
      <c r="H88" s="15">
        <f ca="1">IF(H71=0,0,H29/H71)</f>
        <v>6.8203378841793935E-2</v>
      </c>
      <c r="I88" s="15">
        <f ca="1">IF(I71=0,0,I29/I71)</f>
        <v>5.408286479656086E-2</v>
      </c>
      <c r="J88" s="15">
        <f ca="1">IF(J71=0,0,J29/J71)</f>
        <v>4.6282567534619984E-2</v>
      </c>
      <c r="K88" s="15">
        <f ca="1">IF(K71=0,0,K29/K71)</f>
        <v>9.6059953559985714E-2</v>
      </c>
      <c r="W88" s="146"/>
      <c r="X88" s="146"/>
      <c r="Y88" s="146"/>
      <c r="Z88" s="146"/>
      <c r="AA88" s="146"/>
      <c r="AB88" s="146"/>
      <c r="AC88" s="146"/>
      <c r="AD88" s="146"/>
      <c r="AE88" s="146"/>
      <c r="AF88" s="146"/>
      <c r="AG88" s="146"/>
      <c r="AH88" s="146"/>
      <c r="AI88" s="146"/>
      <c r="AJ88" s="146"/>
      <c r="AK88" s="146"/>
      <c r="AL88" s="146"/>
    </row>
    <row r="89" spans="4:55">
      <c r="D89" s="101" t="s">
        <v>371</v>
      </c>
      <c r="G89" s="15">
        <f ca="1">IF(G62=0,0,G29/G62)</f>
        <v>4.8330935074753598E-2</v>
      </c>
      <c r="H89" s="15">
        <f ca="1">IF(H62=0,0,H29/H62)</f>
        <v>4.4647829752470287E-2</v>
      </c>
      <c r="I89" s="15">
        <f ca="1">IF(I62=0,0,I29/I62)</f>
        <v>3.5958126477989197E-2</v>
      </c>
      <c r="J89" s="15">
        <f ca="1">IF(J62=0,0,J29/J62)</f>
        <v>3.1121770093564607E-2</v>
      </c>
      <c r="K89" s="15">
        <f ca="1">IF(K62=0,0,K29/K62)</f>
        <v>5.9661457174571407E-2</v>
      </c>
      <c r="W89" s="146"/>
      <c r="X89" s="146"/>
      <c r="Y89" s="146"/>
      <c r="Z89" s="146"/>
      <c r="AA89" s="146"/>
      <c r="AB89" s="146"/>
      <c r="AC89" s="146"/>
      <c r="AD89" s="146"/>
      <c r="AE89" s="146"/>
      <c r="AF89" s="146"/>
      <c r="AG89" s="146"/>
      <c r="AH89" s="146"/>
      <c r="AI89" s="146"/>
      <c r="AJ89" s="146"/>
      <c r="AK89" s="146"/>
      <c r="AL89" s="146"/>
    </row>
    <row r="90" spans="4:55">
      <c r="D90" s="100"/>
      <c r="G90" s="11"/>
      <c r="H90" s="11"/>
      <c r="I90" s="11"/>
      <c r="J90" s="11"/>
      <c r="K90" s="11"/>
      <c r="W90" s="146"/>
      <c r="X90" s="146"/>
      <c r="Y90" s="146"/>
      <c r="Z90" s="146"/>
      <c r="AA90" s="146"/>
      <c r="AB90" s="146"/>
      <c r="AC90" s="146"/>
      <c r="AD90" s="146"/>
      <c r="AE90" s="146"/>
      <c r="AF90" s="146"/>
      <c r="AG90" s="146"/>
      <c r="AH90" s="146"/>
      <c r="AI90" s="146"/>
      <c r="AJ90" s="146"/>
      <c r="AK90" s="146"/>
      <c r="AL90" s="146"/>
    </row>
    <row r="91" spans="4:55">
      <c r="D91" s="26" t="s">
        <v>372</v>
      </c>
      <c r="G91" s="11"/>
      <c r="H91" s="11"/>
      <c r="I91" s="11"/>
      <c r="J91" s="11"/>
      <c r="K91" s="11"/>
      <c r="W91" s="146"/>
      <c r="X91" s="146"/>
      <c r="Y91" s="146"/>
      <c r="Z91" s="146"/>
      <c r="AA91" s="146"/>
      <c r="AB91" s="146"/>
      <c r="AC91" s="146"/>
      <c r="AD91" s="146"/>
      <c r="AE91" s="146"/>
      <c r="AF91" s="146"/>
      <c r="AG91" s="146"/>
      <c r="AH91" s="146"/>
      <c r="AI91" s="146"/>
      <c r="AJ91" s="146"/>
      <c r="AK91" s="146"/>
      <c r="AL91" s="146"/>
    </row>
    <row r="92" spans="4:55">
      <c r="W92" s="146"/>
      <c r="X92" s="146"/>
      <c r="Y92" s="146"/>
      <c r="Z92" s="146"/>
      <c r="AA92" s="146"/>
      <c r="AB92" s="146"/>
      <c r="AC92" s="146"/>
      <c r="AD92" s="146"/>
      <c r="AE92" s="146"/>
      <c r="AF92" s="146"/>
      <c r="AG92" s="146"/>
      <c r="AH92" s="146"/>
      <c r="AI92" s="146"/>
      <c r="AJ92" s="146"/>
      <c r="AK92" s="146"/>
      <c r="AL92" s="146"/>
    </row>
    <row r="93" spans="4:55">
      <c r="D93" s="101" t="s">
        <v>373</v>
      </c>
      <c r="G93" s="15">
        <f ca="1">IF(G71=0,0,G66/G71)</f>
        <v>0.20173282189860214</v>
      </c>
      <c r="H93" s="15">
        <f ca="1">IF(H71=0,0,H66/H71)</f>
        <v>0.19642769534131974</v>
      </c>
      <c r="I93" s="15">
        <f ca="1">IF(I71=0,0,I66/I71)</f>
        <v>0.19406112569023531</v>
      </c>
      <c r="J93" s="15">
        <f ca="1">IF(J71=0,0,J66/J71)</f>
        <v>0.19324544659805912</v>
      </c>
      <c r="K93" s="15">
        <f ca="1">IF(K71=0,0,K66/K71)</f>
        <v>0.32011502053350399</v>
      </c>
      <c r="W93" s="146"/>
      <c r="X93" s="146"/>
      <c r="Y93" s="146"/>
      <c r="Z93" s="146"/>
      <c r="AA93" s="146"/>
      <c r="AB93" s="146"/>
      <c r="AC93" s="146"/>
      <c r="AD93" s="146"/>
      <c r="AE93" s="146"/>
      <c r="AF93" s="146"/>
      <c r="AG93" s="146"/>
      <c r="AH93" s="146"/>
      <c r="AI93" s="146"/>
      <c r="AJ93" s="146"/>
      <c r="AK93" s="146"/>
      <c r="AL93" s="146"/>
    </row>
    <row r="94" spans="4:55">
      <c r="D94" s="101" t="s">
        <v>374</v>
      </c>
      <c r="G94" s="14">
        <f ca="1">IF(-G25=0,0,G23/-G25)</f>
        <v>20.202020202020211</v>
      </c>
      <c r="H94" s="14">
        <f ca="1">IF(-H25=0,0,H23/-H25)</f>
        <v>13.451388888888902</v>
      </c>
      <c r="I94" s="14">
        <f ca="1">IF(-I25=0,0,I23/-I25)</f>
        <v>11.275868055555568</v>
      </c>
      <c r="J94" s="14">
        <f ca="1">IF(-J25=0,0,J23/-J25)</f>
        <v>10.03179253472225</v>
      </c>
      <c r="K94" s="14">
        <f ca="1">IF(-K25=0,0,K23/-K25)</f>
        <v>14.163385061237403</v>
      </c>
      <c r="W94" s="146"/>
      <c r="X94" s="146"/>
      <c r="Y94" s="146"/>
      <c r="Z94" s="146"/>
      <c r="AA94" s="146"/>
      <c r="AB94" s="146"/>
      <c r="AC94" s="146"/>
      <c r="AD94" s="146"/>
      <c r="AE94" s="146"/>
      <c r="AF94" s="146"/>
      <c r="AG94" s="146"/>
      <c r="AH94" s="146"/>
      <c r="AI94" s="146"/>
      <c r="AJ94" s="146"/>
      <c r="AK94" s="146"/>
      <c r="AL94" s="146"/>
      <c r="AQ94" s="146"/>
      <c r="AR94" s="146"/>
      <c r="AS94" s="146"/>
      <c r="AT94" s="146"/>
      <c r="AU94" s="146"/>
      <c r="AV94" s="146"/>
      <c r="AW94" s="146"/>
      <c r="AX94" s="146"/>
      <c r="AY94" s="146"/>
      <c r="AZ94" s="146"/>
      <c r="BA94" s="146"/>
      <c r="BB94" s="146"/>
      <c r="BC94" s="146"/>
    </row>
    <row r="95" spans="4:55">
      <c r="W95" s="146"/>
      <c r="X95" s="146"/>
      <c r="Y95" s="146"/>
      <c r="Z95" s="146"/>
      <c r="AA95" s="146"/>
      <c r="AB95" s="146"/>
      <c r="AC95" s="146"/>
      <c r="AD95" s="146"/>
      <c r="AE95" s="146"/>
      <c r="AF95" s="146"/>
      <c r="AG95" s="146"/>
      <c r="AH95" s="146"/>
      <c r="AI95" s="146"/>
      <c r="AJ95" s="146"/>
      <c r="AK95" s="146"/>
      <c r="AL95" s="146"/>
      <c r="AQ95" s="146"/>
      <c r="AR95" s="146"/>
      <c r="AS95" s="146"/>
      <c r="AT95" s="146"/>
      <c r="AU95" s="146"/>
      <c r="AV95" s="146"/>
      <c r="AW95" s="146"/>
      <c r="AX95" s="146"/>
      <c r="AY95" s="146"/>
      <c r="AZ95" s="146"/>
      <c r="BA95" s="146"/>
      <c r="BB95" s="146"/>
      <c r="BC95" s="146"/>
    </row>
    <row r="96" spans="4:55">
      <c r="W96" s="146"/>
      <c r="X96" s="146"/>
      <c r="Y96" s="146"/>
      <c r="Z96" s="146"/>
      <c r="AA96" s="146"/>
      <c r="AB96" s="146"/>
      <c r="AC96" s="146"/>
      <c r="AD96" s="146"/>
      <c r="AE96" s="146"/>
      <c r="AF96" s="146"/>
      <c r="AG96" s="146"/>
      <c r="AH96" s="146"/>
      <c r="AI96" s="146"/>
      <c r="AJ96" s="146"/>
      <c r="AK96" s="146"/>
      <c r="AL96" s="146"/>
      <c r="AQ96" s="146"/>
      <c r="AR96" s="146"/>
      <c r="AS96" s="146"/>
      <c r="AT96" s="146"/>
      <c r="AU96" s="146"/>
      <c r="AV96" s="146"/>
      <c r="AW96" s="146"/>
      <c r="AX96" s="146"/>
      <c r="AY96" s="146"/>
      <c r="AZ96" s="146"/>
      <c r="BA96" s="146"/>
      <c r="BB96" s="146"/>
      <c r="BC96" s="146"/>
    </row>
    <row r="97" spans="3:55">
      <c r="W97" s="146"/>
      <c r="X97" s="146"/>
      <c r="Y97" s="146"/>
      <c r="Z97" s="146"/>
      <c r="AA97" s="146"/>
      <c r="AB97" s="146"/>
      <c r="AC97" s="146"/>
      <c r="AD97" s="146"/>
      <c r="AE97" s="146"/>
      <c r="AF97" s="146"/>
      <c r="AG97" s="146"/>
      <c r="AH97" s="146"/>
      <c r="AI97" s="146"/>
      <c r="AJ97" s="146"/>
      <c r="AK97" s="146"/>
      <c r="AL97" s="146"/>
      <c r="AQ97" s="146"/>
      <c r="AR97" s="146"/>
      <c r="AS97" s="146"/>
      <c r="AT97" s="146"/>
      <c r="AU97" s="146"/>
      <c r="AV97" s="146"/>
      <c r="AW97" s="146"/>
      <c r="AX97" s="146"/>
      <c r="AY97" s="146"/>
      <c r="AZ97" s="146"/>
      <c r="BA97" s="146"/>
      <c r="BB97" s="146"/>
      <c r="BC97" s="146"/>
    </row>
    <row r="98" spans="3:55" ht="13.5" customHeight="1">
      <c r="W98" s="146"/>
      <c r="X98" s="146"/>
      <c r="Y98" s="146"/>
      <c r="Z98" s="146"/>
      <c r="AA98" s="146"/>
      <c r="AB98" s="146"/>
      <c r="AC98" s="146"/>
      <c r="AD98" s="146"/>
      <c r="AE98" s="146"/>
      <c r="AF98" s="146"/>
      <c r="AG98" s="146"/>
      <c r="AH98" s="146"/>
      <c r="AI98" s="146"/>
      <c r="AJ98" s="146"/>
      <c r="AK98" s="146"/>
      <c r="AL98" s="146"/>
      <c r="AQ98" s="146"/>
      <c r="AR98" s="146"/>
      <c r="AS98" s="146"/>
      <c r="AT98" s="146"/>
      <c r="AU98" s="146"/>
      <c r="AV98" s="146"/>
      <c r="AW98" s="146"/>
      <c r="AX98" s="146"/>
      <c r="AY98" s="146"/>
      <c r="AZ98" s="146"/>
      <c r="BA98" s="146"/>
      <c r="BB98" s="146"/>
      <c r="BC98" s="146"/>
    </row>
    <row r="99" spans="3:55">
      <c r="C99" s="25" t="s">
        <v>266</v>
      </c>
      <c r="F99" s="25" t="s">
        <v>265</v>
      </c>
      <c r="W99" s="146"/>
      <c r="X99" s="147"/>
      <c r="AC99" s="146"/>
      <c r="AD99" s="146"/>
      <c r="AE99" s="146"/>
      <c r="AF99" s="146"/>
      <c r="AG99" s="146"/>
      <c r="AH99" s="146"/>
      <c r="AI99" s="146"/>
      <c r="AJ99" s="146"/>
      <c r="AK99" s="146"/>
      <c r="AL99" s="146"/>
      <c r="AQ99" s="146"/>
      <c r="AV99" s="146"/>
      <c r="AW99" s="146"/>
      <c r="AX99" s="146"/>
      <c r="AY99" s="146"/>
      <c r="AZ99" s="146"/>
      <c r="BA99" s="146"/>
      <c r="BB99" s="146"/>
      <c r="BC99" s="146"/>
    </row>
    <row r="100" spans="3:55">
      <c r="C100" s="27" t="s">
        <v>375</v>
      </c>
      <c r="F100" s="74">
        <f ca="1">COUNTIF(G100:K100,Error)</f>
        <v>0</v>
      </c>
      <c r="G100" s="62" t="str">
        <f ca="1">IF(ROUND(SUMIF(Stmnts!$24:$24,G$5,Stmnts!81:81)-G29,3)=0,Ok,Error)</f>
        <v>Ok</v>
      </c>
      <c r="H100" s="62" t="str">
        <f ca="1">IF(ROUND(SUMIF(Stmnts!$24:$24,H$5,Stmnts!81:81)-H29,3)=0,Ok,Error)</f>
        <v>Ok</v>
      </c>
      <c r="I100" s="62" t="str">
        <f ca="1">IF(ROUND(SUMIF(Stmnts!$24:$24,I$5,Stmnts!81:81)-I29,3)=0,Ok,Error)</f>
        <v>Ok</v>
      </c>
      <c r="J100" s="62" t="str">
        <f ca="1">IF(ROUND(SUMIF(Stmnts!$24:$24,J$5,Stmnts!81:81)-J29,3)=0,Ok,Error)</f>
        <v>Ok</v>
      </c>
      <c r="K100" s="62" t="str">
        <f ca="1">IF(ROUND(SUMIF(Stmnts!$24:$24,K$5,Stmnts!81:81)-K29,3)=0,Ok,Error)</f>
        <v>Ok</v>
      </c>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row>
    <row r="101" spans="3:55">
      <c r="C101" s="27" t="s">
        <v>376</v>
      </c>
      <c r="F101" s="74">
        <f ca="1">COUNTIF(G101:K101,Error)</f>
        <v>0</v>
      </c>
      <c r="G101" s="62" t="str">
        <f ca="1">IF(ROUND(SUMIF(Stmnts!$24:$24,G$5,Stmnts!239:239)-G52,3)=0,Ok,Error)</f>
        <v>Ok</v>
      </c>
      <c r="H101" s="62" t="str">
        <f ca="1">IF(ROUND(SUMIF(Stmnts!$24:$24,H$5,Stmnts!239:239)-H52,3)=0,Ok,Error)</f>
        <v>Ok</v>
      </c>
      <c r="I101" s="62" t="str">
        <f ca="1">IF(ROUND(SUMIF(Stmnts!$24:$24,I$5,Stmnts!239:239)-I52,3)=0,Ok,Error)</f>
        <v>Ok</v>
      </c>
      <c r="J101" s="62" t="str">
        <f ca="1">IF(ROUND(SUMIF(Stmnts!$24:$24,J$5,Stmnts!239:239)-J52,3)=0,Ok,Error)</f>
        <v>Ok</v>
      </c>
      <c r="K101" s="62" t="str">
        <f ca="1">IF(ROUND(SUMIF(Stmnts!$24:$24,K$5,Stmnts!239:239)-K52,3)=0,Ok,Error)</f>
        <v>Ok</v>
      </c>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row>
    <row r="102" spans="3:55">
      <c r="C102" s="27" t="s">
        <v>377</v>
      </c>
      <c r="F102" s="74">
        <f ca="1">COUNTIF(G102:K102,Error)</f>
        <v>0</v>
      </c>
      <c r="G102" s="62" t="str">
        <f ca="1">IF(ROUND(G62-G68-G71,3)=0,Ok,Error)</f>
        <v>Ok</v>
      </c>
      <c r="H102" s="62" t="str">
        <f ca="1">IF(ROUND(H62-H68-H71,3)=0,Ok,Error)</f>
        <v>Ok</v>
      </c>
      <c r="I102" s="62" t="str">
        <f ca="1">IF(ROUND(I62-I68-I71,3)=0,Ok,Error)</f>
        <v>Ok</v>
      </c>
      <c r="J102" s="62" t="str">
        <f ca="1">IF(ROUND(J62-J68-J71,3)=0,Ok,Error)</f>
        <v>Ok</v>
      </c>
      <c r="K102" s="62" t="str">
        <f ca="1">IF(ROUND(K62-K68-K71,3)=0,Ok,Error)</f>
        <v>Ok</v>
      </c>
      <c r="W102" s="146"/>
      <c r="X102" s="146"/>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c r="BC102" s="146"/>
    </row>
    <row r="103" spans="3:55">
      <c r="W103" s="146"/>
      <c r="X103" s="146"/>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46"/>
      <c r="AW103" s="146"/>
      <c r="AX103" s="146"/>
      <c r="AY103" s="146"/>
      <c r="AZ103" s="146"/>
      <c r="BA103" s="146"/>
      <c r="BB103" s="146"/>
      <c r="BC103" s="146"/>
    </row>
    <row r="104" spans="3:55">
      <c r="AC104" s="146"/>
      <c r="AD104" s="146"/>
      <c r="AE104" s="146"/>
      <c r="AF104" s="146"/>
      <c r="AG104" s="146"/>
      <c r="AH104" s="146"/>
      <c r="AI104" s="146"/>
      <c r="AJ104" s="146"/>
      <c r="AK104" s="146"/>
      <c r="AL104" s="146"/>
      <c r="AM104" s="146"/>
      <c r="AN104" s="146"/>
      <c r="AO104" s="146"/>
      <c r="AP104" s="146"/>
    </row>
    <row r="105" spans="3:55">
      <c r="AM105" s="146"/>
      <c r="AP105" s="146"/>
    </row>
    <row r="106" spans="3:55">
      <c r="AC106" s="146"/>
      <c r="AD106" s="146"/>
      <c r="AE106" s="146"/>
      <c r="AF106" s="146"/>
      <c r="AG106" s="146"/>
      <c r="AH106" s="146"/>
      <c r="AI106" s="146"/>
      <c r="AJ106" s="146"/>
      <c r="AK106" s="146"/>
      <c r="AL106" s="146"/>
      <c r="AM106" s="146"/>
      <c r="AN106" s="146"/>
      <c r="AO106" s="146"/>
      <c r="AP106" s="146"/>
    </row>
    <row r="107" spans="3:55">
      <c r="AC107" s="146"/>
      <c r="AD107" s="146"/>
      <c r="AE107" s="146"/>
      <c r="AF107" s="146"/>
      <c r="AG107" s="146"/>
      <c r="AH107" s="146"/>
      <c r="AI107" s="146"/>
      <c r="AJ107" s="146"/>
      <c r="AK107" s="146"/>
      <c r="AL107" s="146"/>
      <c r="AM107" s="146"/>
      <c r="AN107" s="146"/>
      <c r="AO107" s="146"/>
      <c r="AP107" s="146"/>
    </row>
    <row r="108" spans="3:55">
      <c r="AC108" s="146"/>
      <c r="AD108" s="146"/>
      <c r="AE108" s="146"/>
      <c r="AF108" s="146"/>
      <c r="AG108" s="146"/>
      <c r="AH108" s="146"/>
      <c r="AI108" s="146"/>
      <c r="AJ108" s="146"/>
      <c r="AK108" s="146"/>
      <c r="AL108" s="146"/>
      <c r="AM108" s="146"/>
      <c r="AN108" s="146"/>
      <c r="AO108" s="146"/>
      <c r="AP108" s="146"/>
    </row>
    <row r="109" spans="3:55">
      <c r="AC109" s="146"/>
      <c r="AD109" s="146"/>
      <c r="AE109" s="146"/>
      <c r="AF109" s="146"/>
      <c r="AG109" s="146"/>
      <c r="AH109" s="146"/>
      <c r="AI109" s="146"/>
      <c r="AJ109" s="146"/>
      <c r="AK109" s="146"/>
      <c r="AL109" s="146"/>
      <c r="AM109" s="146"/>
      <c r="AN109" s="146"/>
      <c r="AO109" s="146"/>
      <c r="AP109" s="146"/>
    </row>
  </sheetData>
  <conditionalFormatting sqref="G100:K102">
    <cfRule type="cellIs" dxfId="3" priority="2" operator="notEqual">
      <formula>Ok</formula>
    </cfRule>
  </conditionalFormatting>
  <conditionalFormatting sqref="F100:F102">
    <cfRule type="cellIs" dxfId="2" priority="1" operator="notEqual">
      <formula>0</formula>
    </cfRule>
  </conditionalFormatting>
  <dataValidations disablePrompts="1" count="5">
    <dataValidation type="list" allowBlank="1" showInputMessage="1" showErrorMessage="1" promptTitle="Periodicity" prompt="1=Monthly_x000a_2=Quarterly_x000a_3=Calander Years_x000a_4=Financial Years_x000a_This cannot be less than the assumtions periodicity" sqref="E4" xr:uid="{00000000-0002-0000-0300-000000000000}">
      <formula1>"1,2,3,4"</formula1>
    </dataValidation>
    <dataValidation type="list" allowBlank="1" showInputMessage="1" showErrorMessage="1" promptTitle="Item Type" prompt="1: P&amp;L or Cash Flow_x000a_2: Balance Sheet" sqref="AC11:AC28" xr:uid="{00000000-0002-0000-0300-000001000000}">
      <formula1>"1,2"</formula1>
    </dataValidation>
    <dataValidation type="list" allowBlank="1" showInputMessage="1" showErrorMessage="1" promptTitle="Source Sheet" prompt="1: Assumptions_x000a_2: Fin_Stmnts" sqref="AA11:AA28" xr:uid="{00000000-0002-0000-0300-000002000000}">
      <formula1>"1,2"</formula1>
    </dataValidation>
    <dataValidation type="whole" allowBlank="1" showInputMessage="1" showErrorMessage="1" promptTitle="Row On Sheet" prompt="The row on the relevant sheet. Consider using =Row(cell) so that the row number changes when rows are inserted" sqref="AB11:AB28" xr:uid="{00000000-0002-0000-0300-000003000000}">
      <formula1>1</formula1>
      <formula2>99999999</formula2>
    </dataValidation>
    <dataValidation type="list" allowBlank="1" showErrorMessage="1" promptTitle="Item Type" sqref="AD11:AD28" xr:uid="{00000000-0002-0000-0300-000004000000}">
      <formula1>Yes_No</formula1>
    </dataValidation>
  </dataValidations>
  <pageMargins left="0.7" right="0.7" top="0.75" bottom="0.75" header="0.3" footer="0.3"/>
  <pageSetup paperSize="9" orientation="portrait" r:id="rId1"/>
  <headerFooter>
    <oddFooter>&amp;L&amp;1#&amp;"Calibri"&amp;10Sensitivity: 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42"/>
  <sheetViews>
    <sheetView showGridLines="0" workbookViewId="0" xr3:uid="{F9CF3CF3-643B-5BE6-8B46-32C596A47465}">
      <pane xSplit="6" ySplit="5" topLeftCell="G14" activePane="bottomRight" state="frozen"/>
      <selection pane="bottomRight" activeCell="H18" sqref="H18"/>
      <selection pane="bottomLeft" activeCell="I76" sqref="I76"/>
      <selection pane="topRight" activeCell="I76" sqref="I76"/>
    </sheetView>
  </sheetViews>
  <sheetFormatPr defaultRowHeight="11.25"/>
  <cols>
    <col min="1" max="3" width="2.83203125" customWidth="1"/>
    <col min="4" max="4" width="25.83203125" customWidth="1"/>
    <col min="5" max="7" width="3.83203125" customWidth="1"/>
  </cols>
  <sheetData>
    <row r="1" spans="1:16384" ht="19.5">
      <c r="B1" s="24" t="s">
        <v>378</v>
      </c>
    </row>
    <row r="2" spans="1:16384">
      <c r="B2" s="43" t="str">
        <f ca="1">Title_Msg</f>
        <v>Errors Found</v>
      </c>
    </row>
    <row r="3" spans="1:16384">
      <c r="B3" s="43"/>
    </row>
    <row r="4" spans="1:16384">
      <c r="B4" s="43"/>
    </row>
    <row r="5" spans="1:16384">
      <c r="B5" s="43"/>
    </row>
    <row r="6" spans="1:16384">
      <c r="B6" s="111"/>
    </row>
    <row r="7" spans="1:16384" s="7" customFormat="1" ht="12.75">
      <c r="B7" s="7" t="s">
        <v>379</v>
      </c>
    </row>
    <row r="8" spans="1:16384">
      <c r="B8" s="111"/>
    </row>
    <row r="9" spans="1:16384">
      <c r="D9" s="27" t="s">
        <v>380</v>
      </c>
      <c r="H9" s="28" t="str">
        <f ca="1">IF(H40=0,"No Errors Found","Errors Found")</f>
        <v>Errors Found</v>
      </c>
    </row>
    <row r="10" spans="1:16384">
      <c r="D10" s="27" t="s">
        <v>381</v>
      </c>
      <c r="H10" s="27"/>
    </row>
    <row r="11" spans="1:16384">
      <c r="D11" s="27" t="s">
        <v>382</v>
      </c>
      <c r="H11" s="129" t="str">
        <f ca="1">H9&amp;IF(H10="","",", " &amp;H10)</f>
        <v>Errors Found</v>
      </c>
    </row>
    <row r="12" spans="1:16384">
      <c r="B12" s="111"/>
    </row>
    <row r="13" spans="1:16384">
      <c r="B13" s="111"/>
    </row>
    <row r="14" spans="1:16384" s="7" customFormat="1" ht="12.75">
      <c r="B14" s="7" t="s">
        <v>264</v>
      </c>
    </row>
    <row r="15" spans="1:16384" s="7" customFormat="1" ht="12.7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c r="XFD15"/>
    </row>
    <row r="16" spans="1:16384">
      <c r="C16" s="25" t="s">
        <v>383</v>
      </c>
      <c r="H16" s="126"/>
    </row>
    <row r="17" spans="2:8">
      <c r="C17" s="25"/>
      <c r="H17" s="126"/>
    </row>
    <row r="18" spans="2:8">
      <c r="B18" s="101"/>
      <c r="D18" s="27" t="s">
        <v>384</v>
      </c>
      <c r="H18" s="126">
        <f ca="1">COUNTIF(Asmptn!$I$308,Error)</f>
        <v>0</v>
      </c>
    </row>
    <row r="19" spans="2:8">
      <c r="B19" s="101"/>
      <c r="H19" s="126"/>
    </row>
    <row r="20" spans="2:8">
      <c r="C20" s="25" t="s">
        <v>385</v>
      </c>
    </row>
    <row r="22" spans="2:8">
      <c r="D22" s="26" t="str">
        <f>Stmnts!B83</f>
        <v>Balance Sheet</v>
      </c>
    </row>
    <row r="23" spans="2:8">
      <c r="D23" s="141" t="str">
        <f>Stmnts!D157</f>
        <v>Error Check</v>
      </c>
      <c r="H23" s="126">
        <f ca="1">Stmnts!K157</f>
        <v>8</v>
      </c>
    </row>
    <row r="24" spans="2:8">
      <c r="D24" s="141" t="str">
        <f>Stmnts!D158</f>
        <v>Balance Check</v>
      </c>
      <c r="H24" s="126">
        <f ca="1">Stmnts!K158</f>
        <v>0</v>
      </c>
    </row>
    <row r="25" spans="2:8">
      <c r="B25" s="112"/>
      <c r="H25" s="126"/>
    </row>
    <row r="26" spans="2:8">
      <c r="D26" s="26" t="str">
        <f>Stmnts!B161</f>
        <v>Cash Flow Statement</v>
      </c>
      <c r="H26" s="126"/>
    </row>
    <row r="27" spans="2:8">
      <c r="D27" s="141" t="str">
        <f>Stmnts!D272</f>
        <v>Direct &amp; Indirect Method Reconciliation</v>
      </c>
      <c r="H27" s="126">
        <f ca="1">Stmnts!K272</f>
        <v>0</v>
      </c>
    </row>
    <row r="28" spans="2:8">
      <c r="D28" s="27"/>
      <c r="H28" s="126"/>
    </row>
    <row r="29" spans="2:8">
      <c r="D29" s="26" t="str">
        <f>Stmnts!C276</f>
        <v>Cash Flow Available For Debt Service</v>
      </c>
      <c r="H29" s="126"/>
    </row>
    <row r="30" spans="2:8">
      <c r="D30" s="141" t="str">
        <f>Stmnts!D315</f>
        <v>Cross Check to Cash Flows</v>
      </c>
      <c r="H30" s="126">
        <f ca="1">Stmnts!K315</f>
        <v>0</v>
      </c>
    </row>
    <row r="31" spans="2:8">
      <c r="D31" s="27" t="s">
        <v>386</v>
      </c>
      <c r="H31" s="128">
        <f ca="1">SUM(H23:H30)</f>
        <v>8</v>
      </c>
    </row>
    <row r="32" spans="2:8">
      <c r="C32" s="112"/>
      <c r="H32" s="126"/>
    </row>
    <row r="33" spans="2:8">
      <c r="C33" s="25" t="s">
        <v>387</v>
      </c>
    </row>
    <row r="35" spans="2:8">
      <c r="D35" s="141" t="str">
        <f>Dshbrd!C100</f>
        <v>NPAT Check</v>
      </c>
      <c r="H35" s="126">
        <f ca="1">Dshbrd!F100</f>
        <v>0</v>
      </c>
    </row>
    <row r="36" spans="2:8">
      <c r="D36" s="141" t="str">
        <f>Dshbrd!C101</f>
        <v>Cash Flow Check</v>
      </c>
      <c r="H36" s="126">
        <f ca="1">Dshbrd!F101</f>
        <v>0</v>
      </c>
    </row>
    <row r="37" spans="2:8">
      <c r="D37" s="141" t="str">
        <f>Dshbrd!C102</f>
        <v>Balance Sheet Check</v>
      </c>
      <c r="H37" s="126">
        <f ca="1">Dshbrd!F102</f>
        <v>0</v>
      </c>
    </row>
    <row r="38" spans="2:8">
      <c r="D38" s="27" t="s">
        <v>386</v>
      </c>
      <c r="H38" s="128">
        <f ca="1">SUM(H35:H37)</f>
        <v>0</v>
      </c>
    </row>
    <row r="40" spans="2:8">
      <c r="C40" s="25" t="s">
        <v>388</v>
      </c>
      <c r="H40" s="127">
        <f ca="1">H18+H31+H38</f>
        <v>8</v>
      </c>
    </row>
    <row r="42" spans="2:8" s="7" customFormat="1" ht="12.75">
      <c r="B42" s="7" t="s">
        <v>389</v>
      </c>
    </row>
  </sheetData>
  <conditionalFormatting sqref="B8 B12:B13 B2:B6">
    <cfRule type="cellIs" dxfId="1" priority="2" operator="notEqual">
      <formula>"No Errors Found"</formula>
    </cfRule>
  </conditionalFormatting>
  <pageMargins left="0.7" right="0.7" top="0.75" bottom="0.75" header="0.3" footer="0.3"/>
  <pageSetup paperSize="9" orientation="portrait" r:id="rId1"/>
  <headerFooter>
    <oddFooter>&amp;L&amp;1#&amp;"Calibri"&amp;10Sensitivity: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1:X120"/>
  <sheetViews>
    <sheetView showGridLines="0" zoomScaleNormal="100" workbookViewId="0" xr3:uid="{78B4E459-6924-5F8B-B7BA-2DD04133E49E}">
      <pane xSplit="1" ySplit="3" topLeftCell="B4" activePane="bottomRight" state="frozen"/>
      <selection pane="bottomRight" activeCell="I70" sqref="I70"/>
      <selection pane="bottomLeft"/>
      <selection pane="topRight"/>
    </sheetView>
  </sheetViews>
  <sheetFormatPr defaultColWidth="9.33203125" defaultRowHeight="11.25" outlineLevelRow="1"/>
  <cols>
    <col min="1" max="3" width="2.83203125" customWidth="1"/>
    <col min="4" max="6" width="30.83203125" customWidth="1"/>
    <col min="7" max="7" width="20.83203125" customWidth="1"/>
    <col min="8" max="8" width="3.83203125" customWidth="1"/>
    <col min="9" max="9" width="30.83203125" customWidth="1"/>
    <col min="10" max="11" width="3.83203125" customWidth="1"/>
    <col min="12" max="24" width="10.83203125" customWidth="1"/>
  </cols>
  <sheetData>
    <row r="1" spans="2:24" ht="19.5">
      <c r="B1" s="24" t="s">
        <v>390</v>
      </c>
    </row>
    <row r="2" spans="2:24">
      <c r="B2" s="43" t="str">
        <f ca="1">Title_Msg</f>
        <v>Errors Found</v>
      </c>
    </row>
    <row r="6" spans="2:24">
      <c r="L6" s="82"/>
      <c r="M6" s="90"/>
      <c r="N6" s="90"/>
      <c r="O6" s="90"/>
    </row>
    <row r="7" spans="2:24" s="2" customFormat="1">
      <c r="B7" s="39" t="s">
        <v>391</v>
      </c>
      <c r="L7" s="40">
        <f t="shared" ref="L7:X7" si="0">L12</f>
        <v>41121</v>
      </c>
      <c r="M7" s="40">
        <f t="shared" si="0"/>
        <v>41152</v>
      </c>
      <c r="N7" s="40">
        <f t="shared" si="0"/>
        <v>41182</v>
      </c>
      <c r="O7" s="40">
        <f t="shared" si="0"/>
        <v>41213</v>
      </c>
      <c r="P7" s="40">
        <f t="shared" si="0"/>
        <v>41243</v>
      </c>
      <c r="Q7" s="40">
        <f t="shared" si="0"/>
        <v>41274</v>
      </c>
      <c r="R7" s="40">
        <f t="shared" si="0"/>
        <v>41305</v>
      </c>
      <c r="S7" s="40">
        <f t="shared" si="0"/>
        <v>41333</v>
      </c>
      <c r="T7" s="40">
        <f t="shared" si="0"/>
        <v>41364</v>
      </c>
      <c r="U7" s="40">
        <f t="shared" si="0"/>
        <v>41394</v>
      </c>
      <c r="V7" s="40">
        <f t="shared" si="0"/>
        <v>41425</v>
      </c>
      <c r="W7" s="40">
        <f t="shared" si="0"/>
        <v>41455</v>
      </c>
      <c r="X7" s="40">
        <f t="shared" si="0"/>
        <v>41486</v>
      </c>
    </row>
    <row r="8" spans="2:24" hidden="1" outlineLevel="1">
      <c r="B8" s="27" t="s">
        <v>392</v>
      </c>
      <c r="L8" s="33" t="str">
        <f t="shared" ref="L8:X8" si="1">CHOOSE(MONTH(L12),Qtr_1,Qtr_1,Qtr_1,Qtr_2,Qtr_2,Qtr_2,Qtr_3,Qtr_3,Qtr_3,Qtr_4,Qtr_4,Qtr_4)&amp;" "&amp;L9&amp;" "</f>
        <v xml:space="preserve">Q3 2012 </v>
      </c>
      <c r="M8" s="33" t="str">
        <f t="shared" si="1"/>
        <v xml:space="preserve">Q3 2012 </v>
      </c>
      <c r="N8" s="33" t="str">
        <f t="shared" si="1"/>
        <v xml:space="preserve">Q3 2012 </v>
      </c>
      <c r="O8" s="33" t="str">
        <f t="shared" si="1"/>
        <v xml:space="preserve">Q4 2012 </v>
      </c>
      <c r="P8" s="33" t="str">
        <f t="shared" si="1"/>
        <v xml:space="preserve">Q4 2012 </v>
      </c>
      <c r="Q8" s="33" t="str">
        <f t="shared" si="1"/>
        <v xml:space="preserve">Q4 2012 </v>
      </c>
      <c r="R8" s="33" t="str">
        <f t="shared" si="1"/>
        <v xml:space="preserve">Q1 2013 </v>
      </c>
      <c r="S8" s="33" t="str">
        <f t="shared" si="1"/>
        <v xml:space="preserve">Q1 2013 </v>
      </c>
      <c r="T8" s="33" t="str">
        <f t="shared" si="1"/>
        <v xml:space="preserve">Q1 2013 </v>
      </c>
      <c r="U8" s="33" t="str">
        <f t="shared" si="1"/>
        <v xml:space="preserve">Q2 2013 </v>
      </c>
      <c r="V8" s="33" t="str">
        <f t="shared" si="1"/>
        <v xml:space="preserve">Q2 2013 </v>
      </c>
      <c r="W8" s="33" t="str">
        <f t="shared" si="1"/>
        <v xml:space="preserve">Q2 2013 </v>
      </c>
      <c r="X8" s="33" t="str">
        <f t="shared" si="1"/>
        <v xml:space="preserve">Q3 2013 </v>
      </c>
    </row>
    <row r="9" spans="2:24" hidden="1" outlineLevel="1">
      <c r="B9" s="27" t="s">
        <v>393</v>
      </c>
      <c r="L9" s="33">
        <f t="shared" ref="L9:X9" si="2">YEAR(L12)</f>
        <v>2012</v>
      </c>
      <c r="M9" s="33">
        <f t="shared" si="2"/>
        <v>2012</v>
      </c>
      <c r="N9" s="33">
        <f t="shared" si="2"/>
        <v>2012</v>
      </c>
      <c r="O9" s="33">
        <f t="shared" si="2"/>
        <v>2012</v>
      </c>
      <c r="P9" s="33">
        <f t="shared" si="2"/>
        <v>2012</v>
      </c>
      <c r="Q9" s="33">
        <f t="shared" si="2"/>
        <v>2012</v>
      </c>
      <c r="R9" s="33">
        <f t="shared" si="2"/>
        <v>2013</v>
      </c>
      <c r="S9" s="33">
        <f t="shared" si="2"/>
        <v>2013</v>
      </c>
      <c r="T9" s="33">
        <f t="shared" si="2"/>
        <v>2013</v>
      </c>
      <c r="U9" s="33">
        <f t="shared" si="2"/>
        <v>2013</v>
      </c>
      <c r="V9" s="33">
        <f t="shared" si="2"/>
        <v>2013</v>
      </c>
      <c r="W9" s="33">
        <f t="shared" si="2"/>
        <v>2013</v>
      </c>
      <c r="X9" s="33">
        <f t="shared" si="2"/>
        <v>2013</v>
      </c>
    </row>
    <row r="10" spans="2:24" hidden="1" outlineLevel="1">
      <c r="B10" s="27" t="s">
        <v>394</v>
      </c>
      <c r="L10" s="33">
        <f>L9+1*(Asmptn!$H$34&lt;MONTH(L12))</f>
        <v>2013</v>
      </c>
      <c r="M10" s="33">
        <f>M9+1*(Asmptn!$H$34&lt;MONTH(M12))</f>
        <v>2013</v>
      </c>
      <c r="N10" s="33">
        <f>N9+1*(Asmptn!$H$34&lt;MONTH(N12))</f>
        <v>2013</v>
      </c>
      <c r="O10" s="33">
        <f>O9+1*(Asmptn!$H$34&lt;MONTH(O12))</f>
        <v>2013</v>
      </c>
      <c r="P10" s="33">
        <f>P9+1*(Asmptn!$H$34&lt;MONTH(P12))</f>
        <v>2013</v>
      </c>
      <c r="Q10" s="33">
        <f>Q9+1*(Asmptn!$H$34&lt;MONTH(Q12))</f>
        <v>2013</v>
      </c>
      <c r="R10" s="33">
        <f>R9+1*(Asmptn!$H$34&lt;MONTH(R12))</f>
        <v>2013</v>
      </c>
      <c r="S10" s="33">
        <f>S9+1*(Asmptn!$H$34&lt;MONTH(S12))</f>
        <v>2013</v>
      </c>
      <c r="T10" s="33">
        <f>T9+1*(Asmptn!$H$34&lt;MONTH(T12))</f>
        <v>2013</v>
      </c>
      <c r="U10" s="33">
        <f>U9+1*(Asmptn!$H$34&lt;MONTH(U12))</f>
        <v>2013</v>
      </c>
      <c r="V10" s="33">
        <f>V9+1*(Asmptn!$H$34&lt;MONTH(V12))</f>
        <v>2013</v>
      </c>
      <c r="W10" s="33">
        <f>W9+1*(Asmptn!$H$34&lt;MONTH(W12))</f>
        <v>2013</v>
      </c>
      <c r="X10" s="33">
        <f>X9+1*(Asmptn!$H$34&lt;MONTH(X12))</f>
        <v>2014</v>
      </c>
    </row>
    <row r="11" spans="2:24" hidden="1" outlineLevel="1">
      <c r="B11" s="27" t="s">
        <v>395</v>
      </c>
      <c r="L11" s="34">
        <f>IF(L20=1,Asmptn!$H$33,K12+1)</f>
        <v>41091</v>
      </c>
      <c r="M11" s="34">
        <f>IF(M20=1,Asmptn!$H$33,L12+1)</f>
        <v>41122</v>
      </c>
      <c r="N11" s="34">
        <f>IF(N20=1,Asmptn!$H$33,M12+1)</f>
        <v>41153</v>
      </c>
      <c r="O11" s="34">
        <f>IF(O20=1,Asmptn!$H$33,N12+1)</f>
        <v>41183</v>
      </c>
      <c r="P11" s="34">
        <f>IF(P20=1,Asmptn!$H$33,O12+1)</f>
        <v>41214</v>
      </c>
      <c r="Q11" s="34">
        <f>IF(Q20=1,Asmptn!$H$33,P12+1)</f>
        <v>41244</v>
      </c>
      <c r="R11" s="34">
        <f>IF(R20=1,Asmptn!$H$33,Q12+1)</f>
        <v>41275</v>
      </c>
      <c r="S11" s="34">
        <f>IF(S20=1,Asmptn!$H$33,R12+1)</f>
        <v>41306</v>
      </c>
      <c r="T11" s="34">
        <f>IF(T20=1,Asmptn!$H$33,S12+1)</f>
        <v>41334</v>
      </c>
      <c r="U11" s="34">
        <f>IF(U20=1,Asmptn!$H$33,T12+1)</f>
        <v>41365</v>
      </c>
      <c r="V11" s="34">
        <f>IF(V20=1,Asmptn!$H$33,U12+1)</f>
        <v>41395</v>
      </c>
      <c r="W11" s="34">
        <f>IF(W20=1,Asmptn!$H$33,V12+1)</f>
        <v>41426</v>
      </c>
      <c r="X11" s="34">
        <f>IF(X20=1,Asmptn!$H$33,W12+1)</f>
        <v>41456</v>
      </c>
    </row>
    <row r="12" spans="2:24" hidden="1" outlineLevel="1">
      <c r="B12" s="27" t="s">
        <v>396</v>
      </c>
      <c r="L12" s="34">
        <f t="shared" ref="L12:X12" si="3">EOMONTH(L11,L13-1)</f>
        <v>41121</v>
      </c>
      <c r="M12" s="34">
        <f t="shared" si="3"/>
        <v>41152</v>
      </c>
      <c r="N12" s="34">
        <f>EOMONTH(N11,N13-1)</f>
        <v>41182</v>
      </c>
      <c r="O12" s="34">
        <f t="shared" si="3"/>
        <v>41213</v>
      </c>
      <c r="P12" s="34">
        <f t="shared" si="3"/>
        <v>41243</v>
      </c>
      <c r="Q12" s="34">
        <f t="shared" si="3"/>
        <v>41274</v>
      </c>
      <c r="R12" s="34">
        <f t="shared" si="3"/>
        <v>41305</v>
      </c>
      <c r="S12" s="34">
        <f t="shared" si="3"/>
        <v>41333</v>
      </c>
      <c r="T12" s="34">
        <f t="shared" si="3"/>
        <v>41364</v>
      </c>
      <c r="U12" s="34">
        <f t="shared" si="3"/>
        <v>41394</v>
      </c>
      <c r="V12" s="34">
        <f t="shared" si="3"/>
        <v>41425</v>
      </c>
      <c r="W12" s="34">
        <f t="shared" si="3"/>
        <v>41455</v>
      </c>
      <c r="X12" s="34">
        <f t="shared" si="3"/>
        <v>41486</v>
      </c>
    </row>
    <row r="13" spans="2:24" hidden="1" outlineLevel="1">
      <c r="B13" s="27" t="s">
        <v>397</v>
      </c>
      <c r="L13" s="35">
        <f t="shared" ref="L13:X13" si="4">Mths_In_Mth</f>
        <v>1</v>
      </c>
      <c r="M13" s="35">
        <f t="shared" si="4"/>
        <v>1</v>
      </c>
      <c r="N13" s="35">
        <f t="shared" si="4"/>
        <v>1</v>
      </c>
      <c r="O13" s="35">
        <f t="shared" si="4"/>
        <v>1</v>
      </c>
      <c r="P13" s="35">
        <f>Mths_In_Mth</f>
        <v>1</v>
      </c>
      <c r="Q13" s="35">
        <f t="shared" si="4"/>
        <v>1</v>
      </c>
      <c r="R13" s="35">
        <f t="shared" si="4"/>
        <v>1</v>
      </c>
      <c r="S13" s="35">
        <f t="shared" si="4"/>
        <v>1</v>
      </c>
      <c r="T13" s="35">
        <f t="shared" si="4"/>
        <v>1</v>
      </c>
      <c r="U13" s="35">
        <f t="shared" si="4"/>
        <v>1</v>
      </c>
      <c r="V13" s="35">
        <f t="shared" si="4"/>
        <v>1</v>
      </c>
      <c r="W13" s="35">
        <f t="shared" si="4"/>
        <v>1</v>
      </c>
      <c r="X13" s="35">
        <f t="shared" si="4"/>
        <v>1</v>
      </c>
    </row>
    <row r="14" spans="2:24" hidden="1" outlineLevel="1">
      <c r="B14" s="27" t="s">
        <v>398</v>
      </c>
      <c r="L14" s="35">
        <f t="shared" ref="L14:X14" si="5">L12-L11+1</f>
        <v>31</v>
      </c>
      <c r="M14" s="35">
        <f t="shared" si="5"/>
        <v>31</v>
      </c>
      <c r="N14" s="35">
        <f t="shared" si="5"/>
        <v>30</v>
      </c>
      <c r="O14" s="35">
        <f t="shared" si="5"/>
        <v>31</v>
      </c>
      <c r="P14" s="35">
        <f t="shared" si="5"/>
        <v>30</v>
      </c>
      <c r="Q14" s="35">
        <f t="shared" si="5"/>
        <v>31</v>
      </c>
      <c r="R14" s="35">
        <f t="shared" si="5"/>
        <v>31</v>
      </c>
      <c r="S14" s="35">
        <f t="shared" si="5"/>
        <v>28</v>
      </c>
      <c r="T14" s="35">
        <f t="shared" si="5"/>
        <v>31</v>
      </c>
      <c r="U14" s="35">
        <f t="shared" si="5"/>
        <v>30</v>
      </c>
      <c r="V14" s="35">
        <f t="shared" si="5"/>
        <v>31</v>
      </c>
      <c r="W14" s="35">
        <f t="shared" si="5"/>
        <v>30</v>
      </c>
      <c r="X14" s="35">
        <f t="shared" si="5"/>
        <v>31</v>
      </c>
    </row>
    <row r="15" spans="2:24" hidden="1" outlineLevel="1">
      <c r="B15" s="27" t="s">
        <v>399</v>
      </c>
      <c r="L15" s="89">
        <f t="shared" ref="L15:X15" si="6">INT((L14-MOD(Fri-WEEKDAY(L11,2),Days_In_Wk)-1)/Days_In_Wk)+1</f>
        <v>4</v>
      </c>
      <c r="M15" s="89">
        <f t="shared" si="6"/>
        <v>5</v>
      </c>
      <c r="N15" s="89">
        <f t="shared" si="6"/>
        <v>4</v>
      </c>
      <c r="O15" s="89">
        <f t="shared" si="6"/>
        <v>4</v>
      </c>
      <c r="P15" s="89">
        <f t="shared" si="6"/>
        <v>5</v>
      </c>
      <c r="Q15" s="89">
        <f t="shared" si="6"/>
        <v>4</v>
      </c>
      <c r="R15" s="89">
        <f t="shared" si="6"/>
        <v>4</v>
      </c>
      <c r="S15" s="89">
        <f t="shared" si="6"/>
        <v>4</v>
      </c>
      <c r="T15" s="89">
        <f t="shared" si="6"/>
        <v>5</v>
      </c>
      <c r="U15" s="89">
        <f t="shared" si="6"/>
        <v>4</v>
      </c>
      <c r="V15" s="89">
        <f t="shared" si="6"/>
        <v>5</v>
      </c>
      <c r="W15" s="89">
        <f t="shared" si="6"/>
        <v>4</v>
      </c>
      <c r="X15" s="89">
        <f t="shared" si="6"/>
        <v>4</v>
      </c>
    </row>
    <row r="16" spans="2:24" hidden="1" outlineLevel="1">
      <c r="B16" s="27" t="s">
        <v>400</v>
      </c>
      <c r="L16" s="36">
        <f t="shared" ref="L16:X16" si="7">YEARFRAC(L11,L12+1,1)</f>
        <v>8.4699453551912565E-2</v>
      </c>
      <c r="M16" s="36">
        <f t="shared" si="7"/>
        <v>8.4699453551912565E-2</v>
      </c>
      <c r="N16" s="36">
        <f t="shared" si="7"/>
        <v>8.1967213114754092E-2</v>
      </c>
      <c r="O16" s="36">
        <f t="shared" si="7"/>
        <v>8.4699453551912565E-2</v>
      </c>
      <c r="P16" s="36">
        <f t="shared" si="7"/>
        <v>8.1967213114754092E-2</v>
      </c>
      <c r="Q16" s="36">
        <f t="shared" si="7"/>
        <v>8.4931506849315067E-2</v>
      </c>
      <c r="R16" s="36">
        <f t="shared" si="7"/>
        <v>8.4931506849315067E-2</v>
      </c>
      <c r="S16" s="36">
        <f t="shared" si="7"/>
        <v>7.6712328767123292E-2</v>
      </c>
      <c r="T16" s="36">
        <f t="shared" si="7"/>
        <v>8.4931506849315067E-2</v>
      </c>
      <c r="U16" s="36">
        <f t="shared" si="7"/>
        <v>8.2191780821917804E-2</v>
      </c>
      <c r="V16" s="36">
        <f t="shared" si="7"/>
        <v>8.4931506849315067E-2</v>
      </c>
      <c r="W16" s="36">
        <f t="shared" si="7"/>
        <v>8.2191780821917804E-2</v>
      </c>
      <c r="X16" s="36">
        <f t="shared" si="7"/>
        <v>8.4931506849315067E-2</v>
      </c>
    </row>
    <row r="17" spans="2:24" hidden="1" outlineLevel="1">
      <c r="B17" s="27" t="s">
        <v>401</v>
      </c>
      <c r="L17" s="36">
        <f>IF(L20=1,L16,K17+L16)</f>
        <v>8.4699453551912565E-2</v>
      </c>
      <c r="M17" s="36">
        <f t="shared" ref="M17:X17" si="8">IF(M20=1,M16,L17+M16)</f>
        <v>0.16939890710382513</v>
      </c>
      <c r="N17" s="36">
        <f t="shared" si="8"/>
        <v>0.25136612021857924</v>
      </c>
      <c r="O17" s="36">
        <f t="shared" si="8"/>
        <v>0.33606557377049179</v>
      </c>
      <c r="P17" s="36">
        <f t="shared" si="8"/>
        <v>0.41803278688524587</v>
      </c>
      <c r="Q17" s="36">
        <f t="shared" si="8"/>
        <v>0.50296429373456097</v>
      </c>
      <c r="R17" s="36">
        <f t="shared" si="8"/>
        <v>0.58789580058387603</v>
      </c>
      <c r="S17" s="36">
        <f t="shared" si="8"/>
        <v>0.66460812935099933</v>
      </c>
      <c r="T17" s="36">
        <f t="shared" si="8"/>
        <v>0.74953963620031439</v>
      </c>
      <c r="U17" s="36">
        <f t="shared" si="8"/>
        <v>0.83173141702223219</v>
      </c>
      <c r="V17" s="36">
        <f t="shared" si="8"/>
        <v>0.91666292387154724</v>
      </c>
      <c r="W17" s="36">
        <f t="shared" si="8"/>
        <v>0.99885470469346505</v>
      </c>
      <c r="X17" s="36">
        <f t="shared" si="8"/>
        <v>1.0837862115427801</v>
      </c>
    </row>
    <row r="18" spans="2:24" hidden="1" outlineLevel="1">
      <c r="B18" s="27" t="s">
        <v>402</v>
      </c>
      <c r="L18" s="89">
        <f t="shared" ref="L18:X18" si="9">EOMONTH(DATE(L9,1,1),11)-DATE(L9,1,1)+1</f>
        <v>366</v>
      </c>
      <c r="M18" s="89">
        <f t="shared" si="9"/>
        <v>366</v>
      </c>
      <c r="N18" s="89">
        <f t="shared" si="9"/>
        <v>366</v>
      </c>
      <c r="O18" s="89">
        <f t="shared" si="9"/>
        <v>366</v>
      </c>
      <c r="P18" s="89">
        <f t="shared" si="9"/>
        <v>366</v>
      </c>
      <c r="Q18" s="89">
        <f t="shared" si="9"/>
        <v>366</v>
      </c>
      <c r="R18" s="89">
        <f t="shared" si="9"/>
        <v>365</v>
      </c>
      <c r="S18" s="89">
        <f t="shared" si="9"/>
        <v>365</v>
      </c>
      <c r="T18" s="89">
        <f t="shared" si="9"/>
        <v>365</v>
      </c>
      <c r="U18" s="89">
        <f t="shared" si="9"/>
        <v>365</v>
      </c>
      <c r="V18" s="89">
        <f t="shared" si="9"/>
        <v>365</v>
      </c>
      <c r="W18" s="89">
        <f t="shared" si="9"/>
        <v>365</v>
      </c>
      <c r="X18" s="89">
        <f t="shared" si="9"/>
        <v>365</v>
      </c>
    </row>
    <row r="19" spans="2:24" hidden="1" outlineLevel="1">
      <c r="B19" s="27" t="s">
        <v>403</v>
      </c>
      <c r="L19" s="89">
        <f>EOMONTH(DATE(L9,Asmptn!$H$34+1,1),11)-DATE(L9,Asmptn!$H$34+1,1)+1</f>
        <v>365</v>
      </c>
      <c r="M19" s="89">
        <f>EOMONTH(DATE(M9,Asmptn!$H$34+1,1),11)-DATE(M9,Asmptn!$H$34+1,1)+1</f>
        <v>365</v>
      </c>
      <c r="N19" s="89">
        <f>EOMONTH(DATE(N9,Asmptn!$H$34+1,1),11)-DATE(N9,Asmptn!$H$34+1,1)+1</f>
        <v>365</v>
      </c>
      <c r="O19" s="89">
        <f>EOMONTH(DATE(O9,Asmptn!$H$34+1,1),11)-DATE(O9,Asmptn!$H$34+1,1)+1</f>
        <v>365</v>
      </c>
      <c r="P19" s="89">
        <f>EOMONTH(DATE(P9,Asmptn!$H$34+1,1),11)-DATE(P9,Asmptn!$H$34+1,1)+1</f>
        <v>365</v>
      </c>
      <c r="Q19" s="89">
        <f>EOMONTH(DATE(Q9,Asmptn!$H$34+1,1),11)-DATE(Q9,Asmptn!$H$34+1,1)+1</f>
        <v>365</v>
      </c>
      <c r="R19" s="89">
        <f>EOMONTH(DATE(R9,Asmptn!$H$34+1,1),11)-DATE(R9,Asmptn!$H$34+1,1)+1</f>
        <v>365</v>
      </c>
      <c r="S19" s="89">
        <f>EOMONTH(DATE(S9,Asmptn!$H$34+1,1),11)-DATE(S9,Asmptn!$H$34+1,1)+1</f>
        <v>365</v>
      </c>
      <c r="T19" s="89">
        <f>EOMONTH(DATE(T9,Asmptn!$H$34+1,1),11)-DATE(T9,Asmptn!$H$34+1,1)+1</f>
        <v>365</v>
      </c>
      <c r="U19" s="89">
        <f>EOMONTH(DATE(U9,Asmptn!$H$34+1,1),11)-DATE(U9,Asmptn!$H$34+1,1)+1</f>
        <v>365</v>
      </c>
      <c r="V19" s="89">
        <f>EOMONTH(DATE(V9,Asmptn!$H$34+1,1),11)-DATE(V9,Asmptn!$H$34+1,1)+1</f>
        <v>365</v>
      </c>
      <c r="W19" s="89">
        <f>EOMONTH(DATE(W9,Asmptn!$H$34+1,1),11)-DATE(W9,Asmptn!$H$34+1,1)+1</f>
        <v>365</v>
      </c>
      <c r="X19" s="89">
        <f>EOMONTH(DATE(X9,Asmptn!$H$34+1,1),11)-DATE(X9,Asmptn!$H$34+1,1)+1</f>
        <v>365</v>
      </c>
    </row>
    <row r="20" spans="2:24" hidden="1" outlineLevel="1">
      <c r="B20" s="27" t="s">
        <v>404</v>
      </c>
      <c r="L20" s="35">
        <f t="shared" ref="L20:X20" si="10">K20+1</f>
        <v>1</v>
      </c>
      <c r="M20" s="35">
        <f t="shared" si="10"/>
        <v>2</v>
      </c>
      <c r="N20" s="35">
        <f t="shared" si="10"/>
        <v>3</v>
      </c>
      <c r="O20" s="35">
        <f t="shared" si="10"/>
        <v>4</v>
      </c>
      <c r="P20" s="35">
        <f t="shared" si="10"/>
        <v>5</v>
      </c>
      <c r="Q20" s="35">
        <f t="shared" si="10"/>
        <v>6</v>
      </c>
      <c r="R20" s="35">
        <f t="shared" si="10"/>
        <v>7</v>
      </c>
      <c r="S20" s="35">
        <f t="shared" si="10"/>
        <v>8</v>
      </c>
      <c r="T20" s="35">
        <f t="shared" si="10"/>
        <v>9</v>
      </c>
      <c r="U20" s="35">
        <f t="shared" si="10"/>
        <v>10</v>
      </c>
      <c r="V20" s="35">
        <f t="shared" si="10"/>
        <v>11</v>
      </c>
      <c r="W20" s="35">
        <f t="shared" si="10"/>
        <v>12</v>
      </c>
      <c r="X20" s="35">
        <f t="shared" si="10"/>
        <v>13</v>
      </c>
    </row>
    <row r="21" spans="2:24" hidden="1" outlineLevel="1">
      <c r="B21" s="27" t="s">
        <v>405</v>
      </c>
      <c r="L21" s="35">
        <f>IF(L20=1,1,K21+CHOOSE(MONTH(L11),1,0,0,1,0,0,1,0,0,1,0,0))</f>
        <v>1</v>
      </c>
      <c r="M21" s="35">
        <f t="shared" ref="M21:X21" si="11">IF(M20=1,1,L21+CHOOSE(MONTH(M11),1,0,0,1,0,0,1,0,0,1,0,0))</f>
        <v>1</v>
      </c>
      <c r="N21" s="35">
        <f t="shared" si="11"/>
        <v>1</v>
      </c>
      <c r="O21" s="35">
        <f t="shared" si="11"/>
        <v>2</v>
      </c>
      <c r="P21" s="35">
        <f t="shared" si="11"/>
        <v>2</v>
      </c>
      <c r="Q21" s="35">
        <f t="shared" si="11"/>
        <v>2</v>
      </c>
      <c r="R21" s="35">
        <f t="shared" si="11"/>
        <v>3</v>
      </c>
      <c r="S21" s="35">
        <f t="shared" si="11"/>
        <v>3</v>
      </c>
      <c r="T21" s="35">
        <f t="shared" si="11"/>
        <v>3</v>
      </c>
      <c r="U21" s="35">
        <f t="shared" si="11"/>
        <v>4</v>
      </c>
      <c r="V21" s="35">
        <f t="shared" si="11"/>
        <v>4</v>
      </c>
      <c r="W21" s="35">
        <f t="shared" si="11"/>
        <v>4</v>
      </c>
      <c r="X21" s="35">
        <f t="shared" si="11"/>
        <v>5</v>
      </c>
    </row>
    <row r="22" spans="2:24" hidden="1" outlineLevel="1">
      <c r="B22" s="27" t="s">
        <v>406</v>
      </c>
      <c r="L22" s="35">
        <f>IF(L20=1,1,K22+IF(L9&lt;&gt;K9,1,0))</f>
        <v>1</v>
      </c>
      <c r="M22" s="35">
        <f t="shared" ref="M22:X22" si="12">IF(M20=1,1,L22+IF(M9&lt;&gt;L9,1,0))</f>
        <v>1</v>
      </c>
      <c r="N22" s="35">
        <f t="shared" si="12"/>
        <v>1</v>
      </c>
      <c r="O22" s="35">
        <f t="shared" si="12"/>
        <v>1</v>
      </c>
      <c r="P22" s="35">
        <f t="shared" si="12"/>
        <v>1</v>
      </c>
      <c r="Q22" s="35">
        <f t="shared" si="12"/>
        <v>1</v>
      </c>
      <c r="R22" s="35">
        <f t="shared" si="12"/>
        <v>2</v>
      </c>
      <c r="S22" s="35">
        <f t="shared" si="12"/>
        <v>2</v>
      </c>
      <c r="T22" s="35">
        <f t="shared" si="12"/>
        <v>2</v>
      </c>
      <c r="U22" s="35">
        <f t="shared" si="12"/>
        <v>2</v>
      </c>
      <c r="V22" s="35">
        <f t="shared" si="12"/>
        <v>2</v>
      </c>
      <c r="W22" s="35">
        <f t="shared" si="12"/>
        <v>2</v>
      </c>
      <c r="X22" s="35">
        <f t="shared" si="12"/>
        <v>2</v>
      </c>
    </row>
    <row r="23" spans="2:24" hidden="1" outlineLevel="1">
      <c r="B23" s="27" t="s">
        <v>407</v>
      </c>
      <c r="L23" s="35">
        <f>IF(L20=1,1,K23+IF(L10&lt;&gt;K10,1,0))</f>
        <v>1</v>
      </c>
      <c r="M23" s="35">
        <f t="shared" ref="M23:X23" si="13">IF(M20=1,1,L23+IF(M10&lt;&gt;L10,1,0))</f>
        <v>1</v>
      </c>
      <c r="N23" s="35">
        <f t="shared" si="13"/>
        <v>1</v>
      </c>
      <c r="O23" s="35">
        <f t="shared" si="13"/>
        <v>1</v>
      </c>
      <c r="P23" s="35">
        <f t="shared" si="13"/>
        <v>1</v>
      </c>
      <c r="Q23" s="35">
        <f t="shared" si="13"/>
        <v>1</v>
      </c>
      <c r="R23" s="35">
        <f t="shared" si="13"/>
        <v>1</v>
      </c>
      <c r="S23" s="35">
        <f t="shared" si="13"/>
        <v>1</v>
      </c>
      <c r="T23" s="35">
        <f t="shared" si="13"/>
        <v>1</v>
      </c>
      <c r="U23" s="35">
        <f t="shared" si="13"/>
        <v>1</v>
      </c>
      <c r="V23" s="35">
        <f t="shared" si="13"/>
        <v>1</v>
      </c>
      <c r="W23" s="35">
        <f t="shared" si="13"/>
        <v>1</v>
      </c>
      <c r="X23" s="35">
        <f t="shared" si="13"/>
        <v>2</v>
      </c>
    </row>
    <row r="24" spans="2:24" s="2" customFormat="1" hidden="1" outlineLevel="1">
      <c r="B24" s="32" t="s">
        <v>408</v>
      </c>
      <c r="L24" s="103">
        <f>CHOOSE(Dshbrd!$E$4,L20,L21,L22,L23)</f>
        <v>1</v>
      </c>
      <c r="M24" s="103">
        <f>CHOOSE(Dshbrd!$E$4,M20,M21,M22,M23)</f>
        <v>1</v>
      </c>
      <c r="N24" s="103">
        <f>CHOOSE(Dshbrd!$E$4,N20,N21,N22,N23)</f>
        <v>1</v>
      </c>
      <c r="O24" s="103">
        <f>CHOOSE(Dshbrd!$E$4,O20,O21,O22,O23)</f>
        <v>1</v>
      </c>
      <c r="P24" s="103">
        <f>CHOOSE(Dshbrd!$E$4,P20,P21,P22,P23)</f>
        <v>1</v>
      </c>
      <c r="Q24" s="103">
        <f>CHOOSE(Dshbrd!$E$4,Q20,Q21,Q22,Q23)</f>
        <v>1</v>
      </c>
      <c r="R24" s="103">
        <f>CHOOSE(Dshbrd!$E$4,R20,R21,R22,R23)</f>
        <v>1</v>
      </c>
      <c r="S24" s="103">
        <f>CHOOSE(Dshbrd!$E$4,S20,S21,S22,S23)</f>
        <v>1</v>
      </c>
      <c r="T24" s="103">
        <f>CHOOSE(Dshbrd!$E$4,T20,T21,T22,T23)</f>
        <v>1</v>
      </c>
      <c r="U24" s="103">
        <f>CHOOSE(Dshbrd!$E$4,U20,U21,U22,U23)</f>
        <v>1</v>
      </c>
      <c r="V24" s="103">
        <f>CHOOSE(Dshbrd!$E$4,V20,V21,V22,V23)</f>
        <v>1</v>
      </c>
      <c r="W24" s="103">
        <f>CHOOSE(Dshbrd!$E$4,W20,W21,W22,W23)</f>
        <v>1</v>
      </c>
      <c r="X24" s="103">
        <f>CHOOSE(Dshbrd!$E$4,X20,X21,X22,X23)</f>
        <v>2</v>
      </c>
    </row>
    <row r="25" spans="2:24" collapsed="1"/>
    <row r="26" spans="2:24" s="2" customFormat="1">
      <c r="B26" s="39" t="s">
        <v>391</v>
      </c>
      <c r="L26" s="40">
        <f t="shared" ref="L26:X26" si="14">L31</f>
        <v>41182</v>
      </c>
      <c r="M26" s="40">
        <f t="shared" si="14"/>
        <v>41274</v>
      </c>
      <c r="N26" s="40">
        <f t="shared" si="14"/>
        <v>41364</v>
      </c>
      <c r="O26" s="40">
        <f t="shared" si="14"/>
        <v>41455</v>
      </c>
      <c r="P26" s="40">
        <f t="shared" si="14"/>
        <v>41547</v>
      </c>
      <c r="Q26" s="40">
        <f t="shared" si="14"/>
        <v>41639</v>
      </c>
      <c r="R26" s="40">
        <f t="shared" si="14"/>
        <v>41729</v>
      </c>
      <c r="S26" s="40">
        <f t="shared" si="14"/>
        <v>41820</v>
      </c>
      <c r="T26" s="40">
        <f t="shared" si="14"/>
        <v>41912</v>
      </c>
      <c r="U26" s="40">
        <f t="shared" si="14"/>
        <v>42004</v>
      </c>
      <c r="V26" s="40">
        <f t="shared" si="14"/>
        <v>42094</v>
      </c>
      <c r="W26" s="40">
        <f t="shared" si="14"/>
        <v>42185</v>
      </c>
      <c r="X26" s="40">
        <f t="shared" si="14"/>
        <v>42277</v>
      </c>
    </row>
    <row r="27" spans="2:24" hidden="1" outlineLevel="1">
      <c r="B27" s="28" t="str">
        <f t="shared" ref="B27:B34" si="15">B8</f>
        <v>Calender Quarter and Year</v>
      </c>
      <c r="L27" s="33" t="str">
        <f t="shared" ref="L27:X27" si="16">CHOOSE(MONTH(L31),Qtr_1,Qtr_1,Qtr_1,Qtr_2,Qtr_2,Qtr_2,Qtr_3,Qtr_3,Qtr_3,Qtr_4,Qtr_4,Qtr_4)&amp;" "&amp;L28&amp;" "</f>
        <v xml:space="preserve">Q3 2012 </v>
      </c>
      <c r="M27" s="33" t="str">
        <f t="shared" si="16"/>
        <v xml:space="preserve">Q4 2012 </v>
      </c>
      <c r="N27" s="33" t="str">
        <f t="shared" si="16"/>
        <v xml:space="preserve">Q1 2013 </v>
      </c>
      <c r="O27" s="33" t="str">
        <f t="shared" si="16"/>
        <v xml:space="preserve">Q2 2013 </v>
      </c>
      <c r="P27" s="33" t="str">
        <f t="shared" si="16"/>
        <v xml:space="preserve">Q3 2013 </v>
      </c>
      <c r="Q27" s="33" t="str">
        <f t="shared" si="16"/>
        <v xml:space="preserve">Q4 2013 </v>
      </c>
      <c r="R27" s="33" t="str">
        <f t="shared" si="16"/>
        <v xml:space="preserve">Q1 2014 </v>
      </c>
      <c r="S27" s="33" t="str">
        <f t="shared" si="16"/>
        <v xml:space="preserve">Q2 2014 </v>
      </c>
      <c r="T27" s="33" t="str">
        <f t="shared" si="16"/>
        <v xml:space="preserve">Q3 2014 </v>
      </c>
      <c r="U27" s="33" t="str">
        <f t="shared" si="16"/>
        <v xml:space="preserve">Q4 2014 </v>
      </c>
      <c r="V27" s="33" t="str">
        <f t="shared" si="16"/>
        <v xml:space="preserve">Q1 2015 </v>
      </c>
      <c r="W27" s="33" t="str">
        <f t="shared" si="16"/>
        <v xml:space="preserve">Q2 2015 </v>
      </c>
      <c r="X27" s="33" t="str">
        <f t="shared" si="16"/>
        <v xml:space="preserve">Q3 2015 </v>
      </c>
    </row>
    <row r="28" spans="2:24" hidden="1" outlineLevel="1">
      <c r="B28" s="28" t="str">
        <f t="shared" si="15"/>
        <v>Calender Year</v>
      </c>
      <c r="L28" s="33">
        <f t="shared" ref="L28:X28" si="17">YEAR(L31)</f>
        <v>2012</v>
      </c>
      <c r="M28" s="33">
        <f t="shared" si="17"/>
        <v>2012</v>
      </c>
      <c r="N28" s="33">
        <f t="shared" si="17"/>
        <v>2013</v>
      </c>
      <c r="O28" s="33">
        <f t="shared" si="17"/>
        <v>2013</v>
      </c>
      <c r="P28" s="33">
        <f t="shared" si="17"/>
        <v>2013</v>
      </c>
      <c r="Q28" s="33">
        <f t="shared" si="17"/>
        <v>2013</v>
      </c>
      <c r="R28" s="33">
        <f t="shared" si="17"/>
        <v>2014</v>
      </c>
      <c r="S28" s="33">
        <f t="shared" si="17"/>
        <v>2014</v>
      </c>
      <c r="T28" s="33">
        <f t="shared" si="17"/>
        <v>2014</v>
      </c>
      <c r="U28" s="33">
        <f t="shared" si="17"/>
        <v>2014</v>
      </c>
      <c r="V28" s="33">
        <f t="shared" si="17"/>
        <v>2015</v>
      </c>
      <c r="W28" s="33">
        <f t="shared" si="17"/>
        <v>2015</v>
      </c>
      <c r="X28" s="33">
        <f t="shared" si="17"/>
        <v>2015</v>
      </c>
    </row>
    <row r="29" spans="2:24" hidden="1" outlineLevel="1">
      <c r="B29" s="28" t="str">
        <f t="shared" si="15"/>
        <v>Financial Year</v>
      </c>
      <c r="L29" s="33">
        <f>L28+1*(Asmptn!$H$34&lt;MONTH(L31))</f>
        <v>2013</v>
      </c>
      <c r="M29" s="33">
        <f>M28+1*(Asmptn!$H$34&lt;MONTH(M31))</f>
        <v>2013</v>
      </c>
      <c r="N29" s="33">
        <f>N28+1*(Asmptn!$H$34&lt;MONTH(N31))</f>
        <v>2013</v>
      </c>
      <c r="O29" s="33">
        <f>O28+1*(Asmptn!$H$34&lt;MONTH(O31))</f>
        <v>2013</v>
      </c>
      <c r="P29" s="33">
        <f>P28+1*(Asmptn!$H$34&lt;MONTH(P31))</f>
        <v>2014</v>
      </c>
      <c r="Q29" s="33">
        <f>Q28+1*(Asmptn!$H$34&lt;MONTH(Q31))</f>
        <v>2014</v>
      </c>
      <c r="R29" s="33">
        <f>R28+1*(Asmptn!$H$34&lt;MONTH(R31))</f>
        <v>2014</v>
      </c>
      <c r="S29" s="33">
        <f>S28+1*(Asmptn!$H$34&lt;MONTH(S31))</f>
        <v>2014</v>
      </c>
      <c r="T29" s="33">
        <f>T28+1*(Asmptn!$H$34&lt;MONTH(T31))</f>
        <v>2015</v>
      </c>
      <c r="U29" s="33">
        <f>U28+1*(Asmptn!$H$34&lt;MONTH(U31))</f>
        <v>2015</v>
      </c>
      <c r="V29" s="33">
        <f>V28+1*(Asmptn!$H$34&lt;MONTH(V31))</f>
        <v>2015</v>
      </c>
      <c r="W29" s="33">
        <f>W28+1*(Asmptn!$H$34&lt;MONTH(W31))</f>
        <v>2015</v>
      </c>
      <c r="X29" s="33">
        <f>X28+1*(Asmptn!$H$34&lt;MONTH(X31))</f>
        <v>2016</v>
      </c>
    </row>
    <row r="30" spans="2:24" hidden="1" outlineLevel="1">
      <c r="B30" s="28" t="str">
        <f t="shared" si="15"/>
        <v>Period Start Date (From Start of Day...)</v>
      </c>
      <c r="L30" s="34">
        <f>IF(L39=1,Asmptn!$H$33,K31+1)</f>
        <v>41091</v>
      </c>
      <c r="M30" s="34">
        <f>IF(M39=1,Asmptn!$H$33,L31+1)</f>
        <v>41183</v>
      </c>
      <c r="N30" s="34">
        <f>IF(N39=1,Asmptn!$H$33,M31+1)</f>
        <v>41275</v>
      </c>
      <c r="O30" s="34">
        <f>IF(O39=1,Asmptn!$H$33,N31+1)</f>
        <v>41365</v>
      </c>
      <c r="P30" s="34">
        <f>IF(P39=1,Asmptn!$H$33,O31+1)</f>
        <v>41456</v>
      </c>
      <c r="Q30" s="34">
        <f>IF(Q39=1,Asmptn!$H$33,P31+1)</f>
        <v>41548</v>
      </c>
      <c r="R30" s="34">
        <f>IF(R39=1,Asmptn!$H$33,Q31+1)</f>
        <v>41640</v>
      </c>
      <c r="S30" s="34">
        <f>IF(S39=1,Asmptn!$H$33,R31+1)</f>
        <v>41730</v>
      </c>
      <c r="T30" s="34">
        <f>IF(T39=1,Asmptn!$H$33,S31+1)</f>
        <v>41821</v>
      </c>
      <c r="U30" s="34">
        <f>IF(U39=1,Asmptn!$H$33,T31+1)</f>
        <v>41913</v>
      </c>
      <c r="V30" s="34">
        <f>IF(V39=1,Asmptn!$H$33,U31+1)</f>
        <v>42005</v>
      </c>
      <c r="W30" s="34">
        <f>IF(W39=1,Asmptn!$H$33,V31+1)</f>
        <v>42095</v>
      </c>
      <c r="X30" s="34">
        <f>IF(X39=1,Asmptn!$H$33,W31+1)</f>
        <v>42186</v>
      </c>
    </row>
    <row r="31" spans="2:24" hidden="1" outlineLevel="1">
      <c r="B31" s="28" t="str">
        <f t="shared" si="15"/>
        <v>Period End Date (Until End of Day...)</v>
      </c>
      <c r="L31" s="34">
        <f t="shared" ref="L31:X31" si="18">EOMONTH(L30,L32-1)</f>
        <v>41182</v>
      </c>
      <c r="M31" s="34">
        <f t="shared" si="18"/>
        <v>41274</v>
      </c>
      <c r="N31" s="34">
        <f t="shared" si="18"/>
        <v>41364</v>
      </c>
      <c r="O31" s="34">
        <f t="shared" si="18"/>
        <v>41455</v>
      </c>
      <c r="P31" s="34">
        <f t="shared" si="18"/>
        <v>41547</v>
      </c>
      <c r="Q31" s="34">
        <f t="shared" si="18"/>
        <v>41639</v>
      </c>
      <c r="R31" s="34">
        <f t="shared" si="18"/>
        <v>41729</v>
      </c>
      <c r="S31" s="34">
        <f t="shared" si="18"/>
        <v>41820</v>
      </c>
      <c r="T31" s="34">
        <f t="shared" si="18"/>
        <v>41912</v>
      </c>
      <c r="U31" s="34">
        <f t="shared" si="18"/>
        <v>42004</v>
      </c>
      <c r="V31" s="34">
        <f t="shared" si="18"/>
        <v>42094</v>
      </c>
      <c r="W31" s="34">
        <f t="shared" si="18"/>
        <v>42185</v>
      </c>
      <c r="X31" s="34">
        <f t="shared" si="18"/>
        <v>42277</v>
      </c>
    </row>
    <row r="32" spans="2:24" hidden="1" outlineLevel="1">
      <c r="B32" s="28" t="str">
        <f t="shared" si="15"/>
        <v>Months in Period</v>
      </c>
      <c r="L32" s="35">
        <f t="shared" ref="L32:X32" si="19">Mths_In_Qtr-IF(L39=1,INDEX(Mth_Count_In_Qtr,MONTH(L30))-1,0)</f>
        <v>3</v>
      </c>
      <c r="M32" s="35">
        <f t="shared" si="19"/>
        <v>3</v>
      </c>
      <c r="N32" s="35">
        <f t="shared" si="19"/>
        <v>3</v>
      </c>
      <c r="O32" s="35">
        <f t="shared" si="19"/>
        <v>3</v>
      </c>
      <c r="P32" s="35">
        <f t="shared" si="19"/>
        <v>3</v>
      </c>
      <c r="Q32" s="35">
        <f t="shared" si="19"/>
        <v>3</v>
      </c>
      <c r="R32" s="35">
        <f t="shared" si="19"/>
        <v>3</v>
      </c>
      <c r="S32" s="35">
        <f t="shared" si="19"/>
        <v>3</v>
      </c>
      <c r="T32" s="35">
        <f t="shared" si="19"/>
        <v>3</v>
      </c>
      <c r="U32" s="35">
        <f t="shared" si="19"/>
        <v>3</v>
      </c>
      <c r="V32" s="35">
        <f t="shared" si="19"/>
        <v>3</v>
      </c>
      <c r="W32" s="35">
        <f t="shared" si="19"/>
        <v>3</v>
      </c>
      <c r="X32" s="35">
        <f t="shared" si="19"/>
        <v>3</v>
      </c>
    </row>
    <row r="33" spans="2:24" hidden="1" outlineLevel="1">
      <c r="B33" s="28" t="str">
        <f t="shared" si="15"/>
        <v>Days in Period</v>
      </c>
      <c r="L33" s="35">
        <f t="shared" ref="L33:X33" si="20">L31-L30+1</f>
        <v>92</v>
      </c>
      <c r="M33" s="35">
        <f t="shared" si="20"/>
        <v>92</v>
      </c>
      <c r="N33" s="35">
        <f t="shared" si="20"/>
        <v>90</v>
      </c>
      <c r="O33" s="35">
        <f t="shared" si="20"/>
        <v>91</v>
      </c>
      <c r="P33" s="35">
        <f t="shared" si="20"/>
        <v>92</v>
      </c>
      <c r="Q33" s="35">
        <f t="shared" si="20"/>
        <v>92</v>
      </c>
      <c r="R33" s="35">
        <f t="shared" si="20"/>
        <v>90</v>
      </c>
      <c r="S33" s="35">
        <f t="shared" si="20"/>
        <v>91</v>
      </c>
      <c r="T33" s="35">
        <f t="shared" si="20"/>
        <v>92</v>
      </c>
      <c r="U33" s="35">
        <f t="shared" si="20"/>
        <v>92</v>
      </c>
      <c r="V33" s="35">
        <f t="shared" si="20"/>
        <v>90</v>
      </c>
      <c r="W33" s="35">
        <f t="shared" si="20"/>
        <v>91</v>
      </c>
      <c r="X33" s="35">
        <f t="shared" si="20"/>
        <v>92</v>
      </c>
    </row>
    <row r="34" spans="2:24" hidden="1" outlineLevel="1">
      <c r="B34" s="28" t="str">
        <f t="shared" si="15"/>
        <v>Fridays in Period</v>
      </c>
      <c r="L34" s="89">
        <f t="shared" ref="L34:X34" si="21">INT((L33-MOD(Fri-WEEKDAY(L30,2),Days_In_Wk)-1)/Days_In_Wk)+1</f>
        <v>13</v>
      </c>
      <c r="M34" s="89">
        <f t="shared" si="21"/>
        <v>13</v>
      </c>
      <c r="N34" s="89">
        <f t="shared" si="21"/>
        <v>13</v>
      </c>
      <c r="O34" s="89">
        <f t="shared" si="21"/>
        <v>13</v>
      </c>
      <c r="P34" s="89">
        <f t="shared" si="21"/>
        <v>13</v>
      </c>
      <c r="Q34" s="89">
        <f t="shared" si="21"/>
        <v>13</v>
      </c>
      <c r="R34" s="89">
        <f t="shared" si="21"/>
        <v>13</v>
      </c>
      <c r="S34" s="89">
        <f t="shared" si="21"/>
        <v>13</v>
      </c>
      <c r="T34" s="89">
        <f t="shared" si="21"/>
        <v>13</v>
      </c>
      <c r="U34" s="89">
        <f t="shared" si="21"/>
        <v>13</v>
      </c>
      <c r="V34" s="89">
        <f t="shared" si="21"/>
        <v>13</v>
      </c>
      <c r="W34" s="89">
        <f t="shared" si="21"/>
        <v>13</v>
      </c>
      <c r="X34" s="89">
        <f t="shared" si="21"/>
        <v>13</v>
      </c>
    </row>
    <row r="35" spans="2:24" hidden="1" outlineLevel="1">
      <c r="B35" s="28" t="str">
        <f t="shared" ref="B35:B43" si="22">B16</f>
        <v>Year Fraction</v>
      </c>
      <c r="L35" s="36">
        <f t="shared" ref="L35:X35" si="23">YEARFRAC(L30,L31+1,1)</f>
        <v>0.25136612021857924</v>
      </c>
      <c r="M35" s="36">
        <f t="shared" si="23"/>
        <v>0.25205479452054796</v>
      </c>
      <c r="N35" s="36">
        <f t="shared" si="23"/>
        <v>0.24657534246575341</v>
      </c>
      <c r="O35" s="36">
        <f t="shared" si="23"/>
        <v>0.24931506849315069</v>
      </c>
      <c r="P35" s="36">
        <f t="shared" si="23"/>
        <v>0.25205479452054796</v>
      </c>
      <c r="Q35" s="36">
        <f t="shared" si="23"/>
        <v>0.25205479452054796</v>
      </c>
      <c r="R35" s="36">
        <f t="shared" si="23"/>
        <v>0.24657534246575341</v>
      </c>
      <c r="S35" s="36">
        <f t="shared" si="23"/>
        <v>0.24931506849315069</v>
      </c>
      <c r="T35" s="36">
        <f t="shared" si="23"/>
        <v>0.25205479452054796</v>
      </c>
      <c r="U35" s="36">
        <f t="shared" si="23"/>
        <v>0.25205479452054796</v>
      </c>
      <c r="V35" s="36">
        <f t="shared" si="23"/>
        <v>0.24657534246575341</v>
      </c>
      <c r="W35" s="36">
        <f t="shared" si="23"/>
        <v>0.24931506849315069</v>
      </c>
      <c r="X35" s="36">
        <f t="shared" si="23"/>
        <v>0.25205479452054796</v>
      </c>
    </row>
    <row r="36" spans="2:24" hidden="1" outlineLevel="1">
      <c r="B36" s="28" t="str">
        <f t="shared" si="22"/>
        <v>Cumulative Year Fraction</v>
      </c>
      <c r="L36" s="36">
        <f t="shared" ref="L36:X36" si="24">IF(L39=1,L35,K36+L35)</f>
        <v>0.25136612021857924</v>
      </c>
      <c r="M36" s="36">
        <f t="shared" si="24"/>
        <v>0.5034209147391272</v>
      </c>
      <c r="N36" s="36">
        <f t="shared" si="24"/>
        <v>0.74999625720488061</v>
      </c>
      <c r="O36" s="36">
        <f t="shared" si="24"/>
        <v>0.99931132569803127</v>
      </c>
      <c r="P36" s="36">
        <f t="shared" si="24"/>
        <v>1.2513661202185793</v>
      </c>
      <c r="Q36" s="36">
        <f t="shared" si="24"/>
        <v>1.5034209147391273</v>
      </c>
      <c r="R36" s="36">
        <f t="shared" si="24"/>
        <v>1.7499962572048808</v>
      </c>
      <c r="S36" s="36">
        <f t="shared" si="24"/>
        <v>1.9993113256980315</v>
      </c>
      <c r="T36" s="36">
        <f t="shared" si="24"/>
        <v>2.2513661202185795</v>
      </c>
      <c r="U36" s="36">
        <f t="shared" si="24"/>
        <v>2.5034209147391273</v>
      </c>
      <c r="V36" s="36">
        <f t="shared" si="24"/>
        <v>2.7499962572048808</v>
      </c>
      <c r="W36" s="36">
        <f t="shared" si="24"/>
        <v>2.9993113256980317</v>
      </c>
      <c r="X36" s="36">
        <f t="shared" si="24"/>
        <v>3.2513661202185795</v>
      </c>
    </row>
    <row r="37" spans="2:24" hidden="1" outlineLevel="1">
      <c r="B37" s="28" t="str">
        <f t="shared" si="22"/>
        <v>Days in Calender Year</v>
      </c>
      <c r="L37" s="89">
        <f t="shared" ref="L37:X37" si="25">EOMONTH(DATE(L28,1,1),11)-DATE(L28,1,1)+1</f>
        <v>366</v>
      </c>
      <c r="M37" s="89">
        <f t="shared" si="25"/>
        <v>366</v>
      </c>
      <c r="N37" s="89">
        <f t="shared" si="25"/>
        <v>365</v>
      </c>
      <c r="O37" s="89">
        <f t="shared" si="25"/>
        <v>365</v>
      </c>
      <c r="P37" s="89">
        <f t="shared" si="25"/>
        <v>365</v>
      </c>
      <c r="Q37" s="89">
        <f t="shared" si="25"/>
        <v>365</v>
      </c>
      <c r="R37" s="89">
        <f t="shared" si="25"/>
        <v>365</v>
      </c>
      <c r="S37" s="89">
        <f t="shared" si="25"/>
        <v>365</v>
      </c>
      <c r="T37" s="89">
        <f t="shared" si="25"/>
        <v>365</v>
      </c>
      <c r="U37" s="89">
        <f t="shared" si="25"/>
        <v>365</v>
      </c>
      <c r="V37" s="89">
        <f t="shared" si="25"/>
        <v>365</v>
      </c>
      <c r="W37" s="89">
        <f t="shared" si="25"/>
        <v>365</v>
      </c>
      <c r="X37" s="89">
        <f t="shared" si="25"/>
        <v>365</v>
      </c>
    </row>
    <row r="38" spans="2:24" hidden="1" outlineLevel="1">
      <c r="B38" s="28" t="str">
        <f t="shared" si="22"/>
        <v>Days in Financial Year</v>
      </c>
      <c r="L38" s="89">
        <f>EOMONTH(DATE(L28,Asmptn!$H$34+1,1),11)-DATE(L28,Asmptn!$H$34+1,1)+1</f>
        <v>365</v>
      </c>
      <c r="M38" s="89">
        <f>EOMONTH(DATE(M28,Asmptn!$H$34+1,1),11)-DATE(M28,Asmptn!$H$34+1,1)+1</f>
        <v>365</v>
      </c>
      <c r="N38" s="89">
        <f>EOMONTH(DATE(N28,Asmptn!$H$34+1,1),11)-DATE(N28,Asmptn!$H$34+1,1)+1</f>
        <v>365</v>
      </c>
      <c r="O38" s="89">
        <f>EOMONTH(DATE(O28,Asmptn!$H$34+1,1),11)-DATE(O28,Asmptn!$H$34+1,1)+1</f>
        <v>365</v>
      </c>
      <c r="P38" s="89">
        <f>EOMONTH(DATE(P28,Asmptn!$H$34+1,1),11)-DATE(P28,Asmptn!$H$34+1,1)+1</f>
        <v>365</v>
      </c>
      <c r="Q38" s="89">
        <f>EOMONTH(DATE(Q28,Asmptn!$H$34+1,1),11)-DATE(Q28,Asmptn!$H$34+1,1)+1</f>
        <v>365</v>
      </c>
      <c r="R38" s="89">
        <f>EOMONTH(DATE(R28,Asmptn!$H$34+1,1),11)-DATE(R28,Asmptn!$H$34+1,1)+1</f>
        <v>365</v>
      </c>
      <c r="S38" s="89">
        <f>EOMONTH(DATE(S28,Asmptn!$H$34+1,1),11)-DATE(S28,Asmptn!$H$34+1,1)+1</f>
        <v>365</v>
      </c>
      <c r="T38" s="89">
        <f>EOMONTH(DATE(T28,Asmptn!$H$34+1,1),11)-DATE(T28,Asmptn!$H$34+1,1)+1</f>
        <v>365</v>
      </c>
      <c r="U38" s="89">
        <f>EOMONTH(DATE(U28,Asmptn!$H$34+1,1),11)-DATE(U28,Asmptn!$H$34+1,1)+1</f>
        <v>365</v>
      </c>
      <c r="V38" s="89">
        <f>EOMONTH(DATE(V28,Asmptn!$H$34+1,1),11)-DATE(V28,Asmptn!$H$34+1,1)+1</f>
        <v>366</v>
      </c>
      <c r="W38" s="89">
        <f>EOMONTH(DATE(W28,Asmptn!$H$34+1,1),11)-DATE(W28,Asmptn!$H$34+1,1)+1</f>
        <v>366</v>
      </c>
      <c r="X38" s="89">
        <f>EOMONTH(DATE(X28,Asmptn!$H$34+1,1),11)-DATE(X28,Asmptn!$H$34+1,1)+1</f>
        <v>366</v>
      </c>
    </row>
    <row r="39" spans="2:24" hidden="1" outlineLevel="1">
      <c r="B39" s="28" t="str">
        <f t="shared" si="22"/>
        <v>Counter</v>
      </c>
      <c r="L39" s="35">
        <f t="shared" ref="L39:X39" si="26">K39+1</f>
        <v>1</v>
      </c>
      <c r="M39" s="35">
        <f t="shared" si="26"/>
        <v>2</v>
      </c>
      <c r="N39" s="35">
        <f t="shared" si="26"/>
        <v>3</v>
      </c>
      <c r="O39" s="35">
        <f t="shared" si="26"/>
        <v>4</v>
      </c>
      <c r="P39" s="35">
        <f t="shared" si="26"/>
        <v>5</v>
      </c>
      <c r="Q39" s="35">
        <f t="shared" si="26"/>
        <v>6</v>
      </c>
      <c r="R39" s="35">
        <f t="shared" si="26"/>
        <v>7</v>
      </c>
      <c r="S39" s="35">
        <f t="shared" si="26"/>
        <v>8</v>
      </c>
      <c r="T39" s="35">
        <f t="shared" si="26"/>
        <v>9</v>
      </c>
      <c r="U39" s="35">
        <f t="shared" si="26"/>
        <v>10</v>
      </c>
      <c r="V39" s="35">
        <f t="shared" si="26"/>
        <v>11</v>
      </c>
      <c r="W39" s="35">
        <f t="shared" si="26"/>
        <v>12</v>
      </c>
      <c r="X39" s="35">
        <f t="shared" si="26"/>
        <v>13</v>
      </c>
    </row>
    <row r="40" spans="2:24" hidden="1" outlineLevel="1">
      <c r="B40" s="28" t="str">
        <f t="shared" si="22"/>
        <v>Quarter Counter</v>
      </c>
      <c r="L40" s="35">
        <f>L39</f>
        <v>1</v>
      </c>
      <c r="M40" s="35">
        <f t="shared" ref="M40:X40" si="27">M39</f>
        <v>2</v>
      </c>
      <c r="N40" s="35">
        <f t="shared" si="27"/>
        <v>3</v>
      </c>
      <c r="O40" s="35">
        <f t="shared" si="27"/>
        <v>4</v>
      </c>
      <c r="P40" s="35">
        <f t="shared" si="27"/>
        <v>5</v>
      </c>
      <c r="Q40" s="35">
        <f t="shared" si="27"/>
        <v>6</v>
      </c>
      <c r="R40" s="35">
        <f t="shared" si="27"/>
        <v>7</v>
      </c>
      <c r="S40" s="35">
        <f t="shared" si="27"/>
        <v>8</v>
      </c>
      <c r="T40" s="35">
        <f t="shared" si="27"/>
        <v>9</v>
      </c>
      <c r="U40" s="35">
        <f t="shared" si="27"/>
        <v>10</v>
      </c>
      <c r="V40" s="35">
        <f t="shared" si="27"/>
        <v>11</v>
      </c>
      <c r="W40" s="35">
        <f t="shared" si="27"/>
        <v>12</v>
      </c>
      <c r="X40" s="35">
        <f t="shared" si="27"/>
        <v>13</v>
      </c>
    </row>
    <row r="41" spans="2:24" hidden="1" outlineLevel="1">
      <c r="B41" s="28" t="str">
        <f t="shared" si="22"/>
        <v>Calender Year Counter</v>
      </c>
      <c r="L41" s="35">
        <f>IF(L39=1,1,K41+IF(L28&lt;&gt;K28,1,0))</f>
        <v>1</v>
      </c>
      <c r="M41" s="35">
        <f t="shared" ref="M41:X41" si="28">IF(M39=1,1,L41+IF(M28&lt;&gt;L28,1,0))</f>
        <v>1</v>
      </c>
      <c r="N41" s="35">
        <f t="shared" si="28"/>
        <v>2</v>
      </c>
      <c r="O41" s="35">
        <f t="shared" si="28"/>
        <v>2</v>
      </c>
      <c r="P41" s="35">
        <f t="shared" si="28"/>
        <v>2</v>
      </c>
      <c r="Q41" s="35">
        <f t="shared" si="28"/>
        <v>2</v>
      </c>
      <c r="R41" s="35">
        <f t="shared" si="28"/>
        <v>3</v>
      </c>
      <c r="S41" s="35">
        <f t="shared" si="28"/>
        <v>3</v>
      </c>
      <c r="T41" s="35">
        <f t="shared" si="28"/>
        <v>3</v>
      </c>
      <c r="U41" s="35">
        <f t="shared" si="28"/>
        <v>3</v>
      </c>
      <c r="V41" s="35">
        <f t="shared" si="28"/>
        <v>4</v>
      </c>
      <c r="W41" s="35">
        <f t="shared" si="28"/>
        <v>4</v>
      </c>
      <c r="X41" s="35">
        <f t="shared" si="28"/>
        <v>4</v>
      </c>
    </row>
    <row r="42" spans="2:24" hidden="1" outlineLevel="1">
      <c r="B42" s="28" t="str">
        <f t="shared" si="22"/>
        <v>Financial Year Counter</v>
      </c>
      <c r="L42" s="35">
        <f>IF(L39=1,1,K42+IF(L29&lt;&gt;K29,1,0))</f>
        <v>1</v>
      </c>
      <c r="M42" s="35">
        <f t="shared" ref="M42:X42" si="29">IF(M39=1,1,L42+IF(M29&lt;&gt;L29,1,0))</f>
        <v>1</v>
      </c>
      <c r="N42" s="35">
        <f t="shared" si="29"/>
        <v>1</v>
      </c>
      <c r="O42" s="35">
        <f t="shared" si="29"/>
        <v>1</v>
      </c>
      <c r="P42" s="35">
        <f t="shared" si="29"/>
        <v>2</v>
      </c>
      <c r="Q42" s="35">
        <f t="shared" si="29"/>
        <v>2</v>
      </c>
      <c r="R42" s="35">
        <f t="shared" si="29"/>
        <v>2</v>
      </c>
      <c r="S42" s="35">
        <f t="shared" si="29"/>
        <v>2</v>
      </c>
      <c r="T42" s="35">
        <f t="shared" si="29"/>
        <v>3</v>
      </c>
      <c r="U42" s="35">
        <f t="shared" si="29"/>
        <v>3</v>
      </c>
      <c r="V42" s="35">
        <f t="shared" si="29"/>
        <v>3</v>
      </c>
      <c r="W42" s="35">
        <f t="shared" si="29"/>
        <v>3</v>
      </c>
      <c r="X42" s="35">
        <f t="shared" si="29"/>
        <v>4</v>
      </c>
    </row>
    <row r="43" spans="2:24" s="2" customFormat="1" hidden="1" outlineLevel="1">
      <c r="B43" s="41" t="str">
        <f t="shared" si="22"/>
        <v>Dashboard Counter</v>
      </c>
      <c r="L43" s="103">
        <f>CHOOSE(Dshbrd!$E$4,0,L40,L41,L42)</f>
        <v>1</v>
      </c>
      <c r="M43" s="103">
        <f>CHOOSE(Dshbrd!$E$4,0,M40,M41,M42)</f>
        <v>1</v>
      </c>
      <c r="N43" s="103">
        <f>CHOOSE(Dshbrd!$E$4,0,N40,N41,N42)</f>
        <v>1</v>
      </c>
      <c r="O43" s="103">
        <f>CHOOSE(Dshbrd!$E$4,0,O40,O41,O42)</f>
        <v>1</v>
      </c>
      <c r="P43" s="103">
        <f>CHOOSE(Dshbrd!$E$4,0,P40,P41,P42)</f>
        <v>2</v>
      </c>
      <c r="Q43" s="103">
        <f>CHOOSE(Dshbrd!$E$4,0,Q40,Q41,Q42)</f>
        <v>2</v>
      </c>
      <c r="R43" s="103">
        <f>CHOOSE(Dshbrd!$E$4,0,R40,R41,R42)</f>
        <v>2</v>
      </c>
      <c r="S43" s="103">
        <f>CHOOSE(Dshbrd!$E$4,0,S40,S41,S42)</f>
        <v>2</v>
      </c>
      <c r="T43" s="103">
        <f>CHOOSE(Dshbrd!$E$4,0,T40,T41,T42)</f>
        <v>3</v>
      </c>
      <c r="U43" s="103">
        <f>CHOOSE(Dshbrd!$E$4,0,U40,U41,U42)</f>
        <v>3</v>
      </c>
      <c r="V43" s="103">
        <f>CHOOSE(Dshbrd!$E$4,0,V40,V41,V42)</f>
        <v>3</v>
      </c>
      <c r="W43" s="103">
        <f>CHOOSE(Dshbrd!$E$4,0,W40,W41,W42)</f>
        <v>3</v>
      </c>
      <c r="X43" s="103">
        <f>CHOOSE(Dshbrd!$E$4,0,X40,X41,X42)</f>
        <v>4</v>
      </c>
    </row>
    <row r="44" spans="2:24" collapsed="1"/>
    <row r="45" spans="2:24" s="2" customFormat="1">
      <c r="B45" s="39" t="s">
        <v>391</v>
      </c>
      <c r="L45" s="40">
        <f t="shared" ref="L45:X45" si="30">L50</f>
        <v>41455</v>
      </c>
      <c r="M45" s="40">
        <f t="shared" si="30"/>
        <v>41820</v>
      </c>
      <c r="N45" s="40">
        <f t="shared" si="30"/>
        <v>42185</v>
      </c>
      <c r="O45" s="40">
        <f t="shared" si="30"/>
        <v>42551</v>
      </c>
      <c r="P45" s="40">
        <f t="shared" si="30"/>
        <v>42916</v>
      </c>
      <c r="Q45" s="40">
        <f t="shared" si="30"/>
        <v>43281</v>
      </c>
      <c r="R45" s="40">
        <f t="shared" si="30"/>
        <v>43646</v>
      </c>
      <c r="S45" s="40">
        <f t="shared" si="30"/>
        <v>44012</v>
      </c>
      <c r="T45" s="40">
        <f t="shared" si="30"/>
        <v>44377</v>
      </c>
      <c r="U45" s="40">
        <f t="shared" si="30"/>
        <v>44742</v>
      </c>
      <c r="V45" s="40">
        <f t="shared" si="30"/>
        <v>45107</v>
      </c>
      <c r="W45" s="40">
        <f t="shared" si="30"/>
        <v>45473</v>
      </c>
      <c r="X45" s="40">
        <f t="shared" si="30"/>
        <v>45838</v>
      </c>
    </row>
    <row r="46" spans="2:24" hidden="1" outlineLevel="1">
      <c r="B46" s="28" t="str">
        <f t="shared" ref="B46:B52" si="31">B8</f>
        <v>Calender Quarter and Year</v>
      </c>
      <c r="L46" s="33" t="str">
        <f t="shared" ref="L46:X46" si="32">CHOOSE(MONTH(L50),Qtr_1,Qtr_1,Qtr_1,Qtr_2,Qtr_2,Qtr_2,Qtr_3,Qtr_3,Qtr_3,Qtr_4,Qtr_4,Qtr_4)&amp;" "&amp;L47&amp;" "</f>
        <v xml:space="preserve">Q2 2013 </v>
      </c>
      <c r="M46" s="33" t="str">
        <f t="shared" si="32"/>
        <v xml:space="preserve">Q2 2014 </v>
      </c>
      <c r="N46" s="33" t="str">
        <f t="shared" si="32"/>
        <v xml:space="preserve">Q2 2015 </v>
      </c>
      <c r="O46" s="33" t="str">
        <f t="shared" si="32"/>
        <v xml:space="preserve">Q2 2016 </v>
      </c>
      <c r="P46" s="33" t="str">
        <f t="shared" si="32"/>
        <v xml:space="preserve">Q2 2017 </v>
      </c>
      <c r="Q46" s="33" t="str">
        <f t="shared" si="32"/>
        <v xml:space="preserve">Q2 2018 </v>
      </c>
      <c r="R46" s="33" t="str">
        <f t="shared" si="32"/>
        <v xml:space="preserve">Q2 2019 </v>
      </c>
      <c r="S46" s="33" t="str">
        <f t="shared" si="32"/>
        <v xml:space="preserve">Q2 2020 </v>
      </c>
      <c r="T46" s="33" t="str">
        <f t="shared" si="32"/>
        <v xml:space="preserve">Q2 2021 </v>
      </c>
      <c r="U46" s="33" t="str">
        <f t="shared" si="32"/>
        <v xml:space="preserve">Q2 2022 </v>
      </c>
      <c r="V46" s="33" t="str">
        <f t="shared" si="32"/>
        <v xml:space="preserve">Q2 2023 </v>
      </c>
      <c r="W46" s="33" t="str">
        <f t="shared" si="32"/>
        <v xml:space="preserve">Q2 2024 </v>
      </c>
      <c r="X46" s="33" t="str">
        <f t="shared" si="32"/>
        <v xml:space="preserve">Q2 2025 </v>
      </c>
    </row>
    <row r="47" spans="2:24" hidden="1" outlineLevel="1">
      <c r="B47" s="28" t="str">
        <f t="shared" si="31"/>
        <v>Calender Year</v>
      </c>
      <c r="L47" s="33">
        <f t="shared" ref="L47:X47" si="33">YEAR(L50)</f>
        <v>2013</v>
      </c>
      <c r="M47" s="33">
        <f t="shared" si="33"/>
        <v>2014</v>
      </c>
      <c r="N47" s="33">
        <f t="shared" si="33"/>
        <v>2015</v>
      </c>
      <c r="O47" s="33">
        <f t="shared" si="33"/>
        <v>2016</v>
      </c>
      <c r="P47" s="33">
        <f t="shared" si="33"/>
        <v>2017</v>
      </c>
      <c r="Q47" s="33">
        <f t="shared" si="33"/>
        <v>2018</v>
      </c>
      <c r="R47" s="33">
        <f t="shared" si="33"/>
        <v>2019</v>
      </c>
      <c r="S47" s="33">
        <f t="shared" si="33"/>
        <v>2020</v>
      </c>
      <c r="T47" s="33">
        <f t="shared" si="33"/>
        <v>2021</v>
      </c>
      <c r="U47" s="33">
        <f t="shared" si="33"/>
        <v>2022</v>
      </c>
      <c r="V47" s="33">
        <f t="shared" si="33"/>
        <v>2023</v>
      </c>
      <c r="W47" s="33">
        <f t="shared" si="33"/>
        <v>2024</v>
      </c>
      <c r="X47" s="33">
        <f t="shared" si="33"/>
        <v>2025</v>
      </c>
    </row>
    <row r="48" spans="2:24" hidden="1" outlineLevel="1">
      <c r="B48" s="28" t="str">
        <f t="shared" si="31"/>
        <v>Financial Year</v>
      </c>
      <c r="L48" s="33">
        <f>L47+1*(Asmptn!$H$34&lt;MONTH(L50))</f>
        <v>2013</v>
      </c>
      <c r="M48" s="33">
        <f>M47+1*(Asmptn!$H$34&lt;MONTH(M50))</f>
        <v>2014</v>
      </c>
      <c r="N48" s="33">
        <f>N47+1*(Asmptn!$H$34&lt;MONTH(N50))</f>
        <v>2015</v>
      </c>
      <c r="O48" s="33">
        <f>O47+1*(Asmptn!$H$34&lt;MONTH(O50))</f>
        <v>2016</v>
      </c>
      <c r="P48" s="33">
        <f>P47+1*(Asmptn!$H$34&lt;MONTH(P50))</f>
        <v>2017</v>
      </c>
      <c r="Q48" s="33">
        <f>Q47+1*(Asmptn!$H$34&lt;MONTH(Q50))</f>
        <v>2018</v>
      </c>
      <c r="R48" s="33">
        <f>R47+1*(Asmptn!$H$34&lt;MONTH(R50))</f>
        <v>2019</v>
      </c>
      <c r="S48" s="33">
        <f>S47+1*(Asmptn!$H$34&lt;MONTH(S50))</f>
        <v>2020</v>
      </c>
      <c r="T48" s="33">
        <f>T47+1*(Asmptn!$H$34&lt;MONTH(T50))</f>
        <v>2021</v>
      </c>
      <c r="U48" s="33">
        <f>U47+1*(Asmptn!$H$34&lt;MONTH(U50))</f>
        <v>2022</v>
      </c>
      <c r="V48" s="33">
        <f>V47+1*(Asmptn!$H$34&lt;MONTH(V50))</f>
        <v>2023</v>
      </c>
      <c r="W48" s="33">
        <f>W47+1*(Asmptn!$H$34&lt;MONTH(W50))</f>
        <v>2024</v>
      </c>
      <c r="X48" s="33">
        <f>X47+1*(Asmptn!$H$34&lt;MONTH(X50))</f>
        <v>2025</v>
      </c>
    </row>
    <row r="49" spans="2:24" hidden="1" outlineLevel="1">
      <c r="B49" s="28" t="str">
        <f t="shared" si="31"/>
        <v>Period Start Date (From Start of Day...)</v>
      </c>
      <c r="L49" s="34">
        <f>IF(L58=1,Asmptn!$H$33,K50+1)</f>
        <v>41091</v>
      </c>
      <c r="M49" s="34">
        <f>IF(M58=1,Asmptn!$H$33,L50+1)</f>
        <v>41456</v>
      </c>
      <c r="N49" s="34">
        <f>IF(N58=1,Asmptn!$H$33,M50+1)</f>
        <v>41821</v>
      </c>
      <c r="O49" s="34">
        <f>IF(O58=1,Asmptn!$H$33,N50+1)</f>
        <v>42186</v>
      </c>
      <c r="P49" s="34">
        <f>IF(P58=1,Asmptn!$H$33,O50+1)</f>
        <v>42552</v>
      </c>
      <c r="Q49" s="34">
        <f>IF(Q58=1,Asmptn!$H$33,P50+1)</f>
        <v>42917</v>
      </c>
      <c r="R49" s="34">
        <f>IF(R58=1,Asmptn!$H$33,Q50+1)</f>
        <v>43282</v>
      </c>
      <c r="S49" s="34">
        <f>IF(S58=1,Asmptn!$H$33,R50+1)</f>
        <v>43647</v>
      </c>
      <c r="T49" s="34">
        <f>IF(T58=1,Asmptn!$H$33,S50+1)</f>
        <v>44013</v>
      </c>
      <c r="U49" s="34">
        <f>IF(U58=1,Asmptn!$H$33,T50+1)</f>
        <v>44378</v>
      </c>
      <c r="V49" s="34">
        <f>IF(V58=1,Asmptn!$H$33,U50+1)</f>
        <v>44743</v>
      </c>
      <c r="W49" s="34">
        <f>IF(W58=1,Asmptn!$H$33,V50+1)</f>
        <v>45108</v>
      </c>
      <c r="X49" s="34">
        <f>IF(X58=1,Asmptn!$H$33,W50+1)</f>
        <v>45474</v>
      </c>
    </row>
    <row r="50" spans="2:24" hidden="1" outlineLevel="1">
      <c r="B50" s="28" t="str">
        <f t="shared" si="31"/>
        <v>Period End Date (Until End of Day...)</v>
      </c>
      <c r="L50" s="34">
        <f t="shared" ref="L50:X50" si="34">EOMONTH(L49,L51-1)</f>
        <v>41455</v>
      </c>
      <c r="M50" s="34">
        <f t="shared" si="34"/>
        <v>41820</v>
      </c>
      <c r="N50" s="34">
        <f t="shared" si="34"/>
        <v>42185</v>
      </c>
      <c r="O50" s="34">
        <f t="shared" si="34"/>
        <v>42551</v>
      </c>
      <c r="P50" s="34">
        <f t="shared" si="34"/>
        <v>42916</v>
      </c>
      <c r="Q50" s="34">
        <f t="shared" si="34"/>
        <v>43281</v>
      </c>
      <c r="R50" s="34">
        <f t="shared" si="34"/>
        <v>43646</v>
      </c>
      <c r="S50" s="34">
        <f t="shared" si="34"/>
        <v>44012</v>
      </c>
      <c r="T50" s="34">
        <f t="shared" si="34"/>
        <v>44377</v>
      </c>
      <c r="U50" s="34">
        <f t="shared" si="34"/>
        <v>44742</v>
      </c>
      <c r="V50" s="34">
        <f t="shared" si="34"/>
        <v>45107</v>
      </c>
      <c r="W50" s="34">
        <f t="shared" si="34"/>
        <v>45473</v>
      </c>
      <c r="X50" s="34">
        <f t="shared" si="34"/>
        <v>45838</v>
      </c>
    </row>
    <row r="51" spans="2:24" hidden="1" outlineLevel="1">
      <c r="B51" s="28" t="str">
        <f t="shared" si="31"/>
        <v>Months in Period</v>
      </c>
      <c r="L51" s="35">
        <f>IF(L58=1,Asmptn!$H$34-MONTH(L49)+1+(Mths_In_Yr*(MONTH(L49)&gt;Asmptn!$H$34)),Mths_In_Yr)</f>
        <v>12</v>
      </c>
      <c r="M51" s="35">
        <f>IF(M58=1,Asmptn!$H$34-MONTH(M49)+1+(Mths_In_Yr*(MONTH(M49)&gt;Asmptn!$H$34)),Mths_In_Yr)</f>
        <v>12</v>
      </c>
      <c r="N51" s="35">
        <f>IF(N58=1,Asmptn!$H$34-MONTH(N49)+1+(Mths_In_Yr*(MONTH(N49)&gt;Asmptn!$H$34)),Mths_In_Yr)</f>
        <v>12</v>
      </c>
      <c r="O51" s="35">
        <f>IF(O58=1,Asmptn!$H$34-MONTH(O49)+1+(Mths_In_Yr*(MONTH(O49)&gt;Asmptn!$H$34)),Mths_In_Yr)</f>
        <v>12</v>
      </c>
      <c r="P51" s="35">
        <f>IF(P58=1,Asmptn!$H$34-MONTH(P49)+1+(Mths_In_Yr*(MONTH(P49)&gt;Asmptn!$H$34)),Mths_In_Yr)</f>
        <v>12</v>
      </c>
      <c r="Q51" s="35">
        <f>IF(Q58=1,Asmptn!$H$34-MONTH(Q49)+1+(Mths_In_Yr*(MONTH(Q49)&gt;Asmptn!$H$34)),Mths_In_Yr)</f>
        <v>12</v>
      </c>
      <c r="R51" s="35">
        <f>IF(R58=1,Asmptn!$H$34-MONTH(R49)+1+(Mths_In_Yr*(MONTH(R49)&gt;Asmptn!$H$34)),Mths_In_Yr)</f>
        <v>12</v>
      </c>
      <c r="S51" s="35">
        <f>IF(S58=1,Asmptn!$H$34-MONTH(S49)+1+(Mths_In_Yr*(MONTH(S49)&gt;Asmptn!$H$34)),Mths_In_Yr)</f>
        <v>12</v>
      </c>
      <c r="T51" s="35">
        <f>IF(T58=1,Asmptn!$H$34-MONTH(T49)+1+(Mths_In_Yr*(MONTH(T49)&gt;Asmptn!$H$34)),Mths_In_Yr)</f>
        <v>12</v>
      </c>
      <c r="U51" s="35">
        <f>IF(U58=1,Asmptn!$H$34-MONTH(U49)+1+(Mths_In_Yr*(MONTH(U49)&gt;Asmptn!$H$34)),Mths_In_Yr)</f>
        <v>12</v>
      </c>
      <c r="V51" s="35">
        <f>IF(V58=1,Asmptn!$H$34-MONTH(V49)+1+(Mths_In_Yr*(MONTH(V49)&gt;Asmptn!$H$34)),Mths_In_Yr)</f>
        <v>12</v>
      </c>
      <c r="W51" s="35">
        <f>IF(W58=1,Asmptn!$H$34-MONTH(W49)+1+(Mths_In_Yr*(MONTH(W49)&gt;Asmptn!$H$34)),Mths_In_Yr)</f>
        <v>12</v>
      </c>
      <c r="X51" s="35">
        <f>IF(X58=1,Asmptn!$H$34-MONTH(X49)+1+(Mths_In_Yr*(MONTH(X49)&gt;Asmptn!$H$34)),Mths_In_Yr)</f>
        <v>12</v>
      </c>
    </row>
    <row r="52" spans="2:24" hidden="1" outlineLevel="1">
      <c r="B52" s="28" t="str">
        <f t="shared" si="31"/>
        <v>Days in Period</v>
      </c>
      <c r="L52" s="35">
        <f t="shared" ref="L52:X52" si="35">L50-L49+1</f>
        <v>365</v>
      </c>
      <c r="M52" s="35">
        <f t="shared" si="35"/>
        <v>365</v>
      </c>
      <c r="N52" s="35">
        <f t="shared" si="35"/>
        <v>365</v>
      </c>
      <c r="O52" s="35">
        <f t="shared" si="35"/>
        <v>366</v>
      </c>
      <c r="P52" s="35">
        <f t="shared" si="35"/>
        <v>365</v>
      </c>
      <c r="Q52" s="35">
        <f t="shared" si="35"/>
        <v>365</v>
      </c>
      <c r="R52" s="35">
        <f t="shared" si="35"/>
        <v>365</v>
      </c>
      <c r="S52" s="35">
        <f t="shared" si="35"/>
        <v>366</v>
      </c>
      <c r="T52" s="35">
        <f t="shared" si="35"/>
        <v>365</v>
      </c>
      <c r="U52" s="35">
        <f t="shared" si="35"/>
        <v>365</v>
      </c>
      <c r="V52" s="35">
        <f t="shared" si="35"/>
        <v>365</v>
      </c>
      <c r="W52" s="35">
        <f t="shared" si="35"/>
        <v>366</v>
      </c>
      <c r="X52" s="35">
        <f t="shared" si="35"/>
        <v>365</v>
      </c>
    </row>
    <row r="53" spans="2:24" hidden="1" outlineLevel="1">
      <c r="B53" s="28" t="str">
        <f t="shared" ref="B53:B59" si="36">B15</f>
        <v>Fridays in Period</v>
      </c>
      <c r="L53" s="89">
        <f t="shared" ref="L53:X53" si="37">INT((L52-MOD(Fri-WEEKDAY(L49,2),Days_In_Wk)-1)/Days_In_Wk)+1</f>
        <v>52</v>
      </c>
      <c r="M53" s="89">
        <f t="shared" si="37"/>
        <v>52</v>
      </c>
      <c r="N53" s="89">
        <f t="shared" si="37"/>
        <v>52</v>
      </c>
      <c r="O53" s="89">
        <f t="shared" si="37"/>
        <v>52</v>
      </c>
      <c r="P53" s="89">
        <f t="shared" si="37"/>
        <v>53</v>
      </c>
      <c r="Q53" s="89">
        <f t="shared" si="37"/>
        <v>52</v>
      </c>
      <c r="R53" s="89">
        <f t="shared" si="37"/>
        <v>52</v>
      </c>
      <c r="S53" s="89">
        <f t="shared" si="37"/>
        <v>52</v>
      </c>
      <c r="T53" s="89">
        <f t="shared" si="37"/>
        <v>52</v>
      </c>
      <c r="U53" s="89">
        <f t="shared" si="37"/>
        <v>52</v>
      </c>
      <c r="V53" s="89">
        <f t="shared" si="37"/>
        <v>53</v>
      </c>
      <c r="W53" s="89">
        <f t="shared" si="37"/>
        <v>52</v>
      </c>
      <c r="X53" s="89">
        <f t="shared" si="37"/>
        <v>52</v>
      </c>
    </row>
    <row r="54" spans="2:24" hidden="1" outlineLevel="1">
      <c r="B54" s="28" t="str">
        <f t="shared" si="36"/>
        <v>Year Fraction</v>
      </c>
      <c r="L54" s="36">
        <f t="shared" ref="L54:X54" si="38">YEARFRAC(L49,L50+1,1)</f>
        <v>1</v>
      </c>
      <c r="M54" s="36">
        <f t="shared" si="38"/>
        <v>1</v>
      </c>
      <c r="N54" s="36">
        <f t="shared" si="38"/>
        <v>1</v>
      </c>
      <c r="O54" s="36">
        <f t="shared" si="38"/>
        <v>1</v>
      </c>
      <c r="P54" s="36">
        <f t="shared" si="38"/>
        <v>1</v>
      </c>
      <c r="Q54" s="36">
        <f t="shared" si="38"/>
        <v>1</v>
      </c>
      <c r="R54" s="36">
        <f t="shared" si="38"/>
        <v>1</v>
      </c>
      <c r="S54" s="36">
        <f t="shared" si="38"/>
        <v>1</v>
      </c>
      <c r="T54" s="36">
        <f t="shared" si="38"/>
        <v>1</v>
      </c>
      <c r="U54" s="36">
        <f t="shared" si="38"/>
        <v>1</v>
      </c>
      <c r="V54" s="36">
        <f t="shared" si="38"/>
        <v>1</v>
      </c>
      <c r="W54" s="36">
        <f t="shared" si="38"/>
        <v>1</v>
      </c>
      <c r="X54" s="36">
        <f t="shared" si="38"/>
        <v>1</v>
      </c>
    </row>
    <row r="55" spans="2:24" hidden="1" outlineLevel="1">
      <c r="B55" s="28" t="str">
        <f t="shared" si="36"/>
        <v>Cumulative Year Fraction</v>
      </c>
      <c r="L55" s="36">
        <f t="shared" ref="L55:X55" si="39">IF(L58=1,L54,K55+L54)</f>
        <v>1</v>
      </c>
      <c r="M55" s="36">
        <f t="shared" si="39"/>
        <v>2</v>
      </c>
      <c r="N55" s="36">
        <f t="shared" si="39"/>
        <v>3</v>
      </c>
      <c r="O55" s="36">
        <f t="shared" si="39"/>
        <v>4</v>
      </c>
      <c r="P55" s="36">
        <f t="shared" si="39"/>
        <v>5</v>
      </c>
      <c r="Q55" s="36">
        <f t="shared" si="39"/>
        <v>6</v>
      </c>
      <c r="R55" s="36">
        <f t="shared" si="39"/>
        <v>7</v>
      </c>
      <c r="S55" s="36">
        <f t="shared" si="39"/>
        <v>8</v>
      </c>
      <c r="T55" s="36">
        <f t="shared" si="39"/>
        <v>9</v>
      </c>
      <c r="U55" s="36">
        <f t="shared" si="39"/>
        <v>10</v>
      </c>
      <c r="V55" s="36">
        <f t="shared" si="39"/>
        <v>11</v>
      </c>
      <c r="W55" s="36">
        <f t="shared" si="39"/>
        <v>12</v>
      </c>
      <c r="X55" s="36">
        <f t="shared" si="39"/>
        <v>13</v>
      </c>
    </row>
    <row r="56" spans="2:24" hidden="1" outlineLevel="1">
      <c r="B56" s="28" t="str">
        <f t="shared" si="36"/>
        <v>Days in Calender Year</v>
      </c>
      <c r="L56" s="89">
        <f t="shared" ref="L56:X56" si="40">EOMONTH(DATE(L47,1,1),11)-DATE(L47,1,1)+1</f>
        <v>365</v>
      </c>
      <c r="M56" s="89">
        <f t="shared" si="40"/>
        <v>365</v>
      </c>
      <c r="N56" s="89">
        <f t="shared" si="40"/>
        <v>365</v>
      </c>
      <c r="O56" s="89">
        <f t="shared" si="40"/>
        <v>366</v>
      </c>
      <c r="P56" s="89">
        <f t="shared" si="40"/>
        <v>365</v>
      </c>
      <c r="Q56" s="89">
        <f t="shared" si="40"/>
        <v>365</v>
      </c>
      <c r="R56" s="89">
        <f t="shared" si="40"/>
        <v>365</v>
      </c>
      <c r="S56" s="89">
        <f t="shared" si="40"/>
        <v>366</v>
      </c>
      <c r="T56" s="89">
        <f t="shared" si="40"/>
        <v>365</v>
      </c>
      <c r="U56" s="89">
        <f t="shared" si="40"/>
        <v>365</v>
      </c>
      <c r="V56" s="89">
        <f t="shared" si="40"/>
        <v>365</v>
      </c>
      <c r="W56" s="89">
        <f t="shared" si="40"/>
        <v>366</v>
      </c>
      <c r="X56" s="89">
        <f t="shared" si="40"/>
        <v>365</v>
      </c>
    </row>
    <row r="57" spans="2:24" hidden="1" outlineLevel="1">
      <c r="B57" s="28" t="str">
        <f t="shared" si="36"/>
        <v>Days in Financial Year</v>
      </c>
      <c r="L57" s="89">
        <f>EOMONTH(DATE(L47,Asmptn!$H$34+1,1),11)-DATE(L47,Asmptn!$H$34+1,1)+1</f>
        <v>365</v>
      </c>
      <c r="M57" s="89">
        <f>EOMONTH(DATE(M47,Asmptn!$H$34+1,1),11)-DATE(M47,Asmptn!$H$34+1,1)+1</f>
        <v>365</v>
      </c>
      <c r="N57" s="89">
        <f>EOMONTH(DATE(N47,Asmptn!$H$34+1,1),11)-DATE(N47,Asmptn!$H$34+1,1)+1</f>
        <v>366</v>
      </c>
      <c r="O57" s="89">
        <f>EOMONTH(DATE(O47,Asmptn!$H$34+1,1),11)-DATE(O47,Asmptn!$H$34+1,1)+1</f>
        <v>365</v>
      </c>
      <c r="P57" s="89">
        <f>EOMONTH(DATE(P47,Asmptn!$H$34+1,1),11)-DATE(P47,Asmptn!$H$34+1,1)+1</f>
        <v>365</v>
      </c>
      <c r="Q57" s="89">
        <f>EOMONTH(DATE(Q47,Asmptn!$H$34+1,1),11)-DATE(Q47,Asmptn!$H$34+1,1)+1</f>
        <v>365</v>
      </c>
      <c r="R57" s="89">
        <f>EOMONTH(DATE(R47,Asmptn!$H$34+1,1),11)-DATE(R47,Asmptn!$H$34+1,1)+1</f>
        <v>366</v>
      </c>
      <c r="S57" s="89">
        <f>EOMONTH(DATE(S47,Asmptn!$H$34+1,1),11)-DATE(S47,Asmptn!$H$34+1,1)+1</f>
        <v>365</v>
      </c>
      <c r="T57" s="89">
        <f>EOMONTH(DATE(T47,Asmptn!$H$34+1,1),11)-DATE(T47,Asmptn!$H$34+1,1)+1</f>
        <v>365</v>
      </c>
      <c r="U57" s="89">
        <f>EOMONTH(DATE(U47,Asmptn!$H$34+1,1),11)-DATE(U47,Asmptn!$H$34+1,1)+1</f>
        <v>365</v>
      </c>
      <c r="V57" s="89">
        <f>EOMONTH(DATE(V47,Asmptn!$H$34+1,1),11)-DATE(V47,Asmptn!$H$34+1,1)+1</f>
        <v>366</v>
      </c>
      <c r="W57" s="89">
        <f>EOMONTH(DATE(W47,Asmptn!$H$34+1,1),11)-DATE(W47,Asmptn!$H$34+1,1)+1</f>
        <v>365</v>
      </c>
      <c r="X57" s="89">
        <f>EOMONTH(DATE(X47,Asmptn!$H$34+1,1),11)-DATE(X47,Asmptn!$H$34+1,1)+1</f>
        <v>365</v>
      </c>
    </row>
    <row r="58" spans="2:24" hidden="1" outlineLevel="1">
      <c r="B58" s="28" t="str">
        <f t="shared" si="36"/>
        <v>Counter</v>
      </c>
      <c r="L58" s="35">
        <f t="shared" ref="L58:X58" si="41">K58+1</f>
        <v>1</v>
      </c>
      <c r="M58" s="35">
        <f t="shared" si="41"/>
        <v>2</v>
      </c>
      <c r="N58" s="35">
        <f t="shared" si="41"/>
        <v>3</v>
      </c>
      <c r="O58" s="35">
        <f t="shared" si="41"/>
        <v>4</v>
      </c>
      <c r="P58" s="35">
        <f t="shared" si="41"/>
        <v>5</v>
      </c>
      <c r="Q58" s="35">
        <f t="shared" si="41"/>
        <v>6</v>
      </c>
      <c r="R58" s="35">
        <f t="shared" si="41"/>
        <v>7</v>
      </c>
      <c r="S58" s="35">
        <f t="shared" si="41"/>
        <v>8</v>
      </c>
      <c r="T58" s="35">
        <f t="shared" si="41"/>
        <v>9</v>
      </c>
      <c r="U58" s="35">
        <f t="shared" si="41"/>
        <v>10</v>
      </c>
      <c r="V58" s="35">
        <f t="shared" si="41"/>
        <v>11</v>
      </c>
      <c r="W58" s="35">
        <f t="shared" si="41"/>
        <v>12</v>
      </c>
      <c r="X58" s="35">
        <f t="shared" si="41"/>
        <v>13</v>
      </c>
    </row>
    <row r="59" spans="2:24" hidden="1" outlineLevel="1">
      <c r="B59" s="28" t="str">
        <f t="shared" si="36"/>
        <v>Quarter Counter</v>
      </c>
      <c r="L59" s="35">
        <v>0</v>
      </c>
      <c r="M59" s="35">
        <v>0</v>
      </c>
      <c r="N59" s="35">
        <v>0</v>
      </c>
      <c r="O59" s="35">
        <v>0</v>
      </c>
      <c r="P59" s="35">
        <v>0</v>
      </c>
      <c r="Q59" s="35">
        <v>0</v>
      </c>
      <c r="R59" s="35">
        <v>0</v>
      </c>
      <c r="S59" s="35">
        <v>0</v>
      </c>
      <c r="T59" s="35">
        <v>0</v>
      </c>
      <c r="U59" s="35">
        <v>0</v>
      </c>
      <c r="V59" s="35">
        <v>0</v>
      </c>
      <c r="W59" s="35">
        <v>0</v>
      </c>
      <c r="X59" s="35">
        <v>0</v>
      </c>
    </row>
    <row r="60" spans="2:24" hidden="1" outlineLevel="1">
      <c r="B60" s="28" t="str">
        <f>B22</f>
        <v>Calender Year Counter</v>
      </c>
      <c r="L60" s="35">
        <f>IF(AND(MONTH(L49)=1,DAY(L49)=1),IF(L58=1,1,K60+1),0)</f>
        <v>0</v>
      </c>
      <c r="M60" s="35">
        <f t="shared" ref="M60:X60" si="42">IF(AND(MONTH(M49)=1,DAY(M49)=1),IF(M58=1,1,L60+1),0)</f>
        <v>0</v>
      </c>
      <c r="N60" s="35">
        <f t="shared" si="42"/>
        <v>0</v>
      </c>
      <c r="O60" s="35">
        <f t="shared" si="42"/>
        <v>0</v>
      </c>
      <c r="P60" s="35">
        <f t="shared" si="42"/>
        <v>0</v>
      </c>
      <c r="Q60" s="35">
        <f t="shared" si="42"/>
        <v>0</v>
      </c>
      <c r="R60" s="35">
        <f t="shared" si="42"/>
        <v>0</v>
      </c>
      <c r="S60" s="35">
        <f t="shared" si="42"/>
        <v>0</v>
      </c>
      <c r="T60" s="35">
        <f t="shared" si="42"/>
        <v>0</v>
      </c>
      <c r="U60" s="35">
        <f t="shared" si="42"/>
        <v>0</v>
      </c>
      <c r="V60" s="35">
        <f t="shared" si="42"/>
        <v>0</v>
      </c>
      <c r="W60" s="35">
        <f t="shared" si="42"/>
        <v>0</v>
      </c>
      <c r="X60" s="35">
        <f t="shared" si="42"/>
        <v>0</v>
      </c>
    </row>
    <row r="61" spans="2:24" hidden="1" outlineLevel="1">
      <c r="B61" s="28" t="str">
        <f>B23</f>
        <v>Financial Year Counter</v>
      </c>
      <c r="L61" s="35">
        <f>IF(AND(MONTH(L49)=(Asmptn!$H$35),DAY(L49)=1),IF(L58=1,1,K61+1),0)</f>
        <v>1</v>
      </c>
      <c r="M61" s="35">
        <f>IF(AND(MONTH(M49)=(Asmptn!$H$35),DAY(M49)=1),IF(M58=1,1,L61+1),0)</f>
        <v>2</v>
      </c>
      <c r="N61" s="35">
        <f>IF(AND(MONTH(N49)=(Asmptn!$H$35),DAY(N49)=1),IF(N58=1,1,M61+1),0)</f>
        <v>3</v>
      </c>
      <c r="O61" s="35">
        <f>IF(AND(MONTH(O49)=(Asmptn!$H$35),DAY(O49)=1),IF(O58=1,1,N61+1),0)</f>
        <v>4</v>
      </c>
      <c r="P61" s="35">
        <f>IF(AND(MONTH(P49)=(Asmptn!$H$35),DAY(P49)=1),IF(P58=1,1,O61+1),0)</f>
        <v>5</v>
      </c>
      <c r="Q61" s="35">
        <f>IF(AND(MONTH(Q49)=(Asmptn!$H$35),DAY(Q49)=1),IF(Q58=1,1,P61+1),0)</f>
        <v>6</v>
      </c>
      <c r="R61" s="35">
        <f>IF(AND(MONTH(R49)=(Asmptn!$H$35),DAY(R49)=1),IF(R58=1,1,Q61+1),0)</f>
        <v>7</v>
      </c>
      <c r="S61" s="35">
        <f>IF(AND(MONTH(S49)=(Asmptn!$H$35),DAY(S49)=1),IF(S58=1,1,R61+1),0)</f>
        <v>8</v>
      </c>
      <c r="T61" s="35">
        <f>IF(AND(MONTH(T49)=(Asmptn!$H$35),DAY(T49)=1),IF(T58=1,1,S61+1),0)</f>
        <v>9</v>
      </c>
      <c r="U61" s="35">
        <f>IF(AND(MONTH(U49)=(Asmptn!$H$35),DAY(U49)=1),IF(U58=1,1,T61+1),0)</f>
        <v>10</v>
      </c>
      <c r="V61" s="35">
        <f>IF(AND(MONTH(V49)=(Asmptn!$H$35),DAY(V49)=1),IF(V58=1,1,U61+1),0)</f>
        <v>11</v>
      </c>
      <c r="W61" s="35">
        <f>IF(AND(MONTH(W49)=(Asmptn!$H$35),DAY(W49)=1),IF(W58=1,1,V61+1),0)</f>
        <v>12</v>
      </c>
      <c r="X61" s="35">
        <f>IF(AND(MONTH(X49)=(Asmptn!$H$35),DAY(X49)=1),IF(X58=1,1,W61+1),0)</f>
        <v>13</v>
      </c>
    </row>
    <row r="62" spans="2:24" s="2" customFormat="1" hidden="1" outlineLevel="1">
      <c r="B62" s="41" t="str">
        <f>B24</f>
        <v>Dashboard Counter</v>
      </c>
      <c r="L62" s="103">
        <f>CHOOSE(Dshbrd!$E$4,0,0,L60,L61)</f>
        <v>1</v>
      </c>
      <c r="M62" s="103">
        <f>CHOOSE(Dshbrd!$E$4,0,0,M60,M61)</f>
        <v>2</v>
      </c>
      <c r="N62" s="103">
        <f>CHOOSE(Dshbrd!$E$4,0,0,N60,N61)</f>
        <v>3</v>
      </c>
      <c r="O62" s="103">
        <f>CHOOSE(Dshbrd!$E$4,0,0,O60,O61)</f>
        <v>4</v>
      </c>
      <c r="P62" s="103">
        <f>CHOOSE(Dshbrd!$E$4,0,0,P60,P61)</f>
        <v>5</v>
      </c>
      <c r="Q62" s="103">
        <f>CHOOSE(Dshbrd!$E$4,0,0,Q60,Q61)</f>
        <v>6</v>
      </c>
      <c r="R62" s="103">
        <f>CHOOSE(Dshbrd!$E$4,0,0,R60,R61)</f>
        <v>7</v>
      </c>
      <c r="S62" s="103">
        <f>CHOOSE(Dshbrd!$E$4,0,0,S60,S61)</f>
        <v>8</v>
      </c>
      <c r="T62" s="103">
        <f>CHOOSE(Dshbrd!$E$4,0,0,T60,T61)</f>
        <v>9</v>
      </c>
      <c r="U62" s="103">
        <f>CHOOSE(Dshbrd!$E$4,0,0,U60,U61)</f>
        <v>10</v>
      </c>
      <c r="V62" s="103">
        <f>CHOOSE(Dshbrd!$E$4,0,0,V60,V61)</f>
        <v>11</v>
      </c>
      <c r="W62" s="103">
        <f>CHOOSE(Dshbrd!$E$4,0,0,W60,W61)</f>
        <v>12</v>
      </c>
      <c r="X62" s="103">
        <f>CHOOSE(Dshbrd!$E$4,0,0,X60,X61)</f>
        <v>13</v>
      </c>
    </row>
    <row r="63" spans="2:24" collapsed="1"/>
    <row r="64" spans="2:24">
      <c r="C64" s="25" t="s">
        <v>409</v>
      </c>
      <c r="E64" s="37" t="s">
        <v>410</v>
      </c>
    </row>
    <row r="65" spans="3:5">
      <c r="E65" s="78"/>
    </row>
    <row r="66" spans="3:5">
      <c r="D66" s="38">
        <v>1</v>
      </c>
      <c r="E66" s="79" t="s">
        <v>411</v>
      </c>
    </row>
    <row r="67" spans="3:5">
      <c r="D67" s="38">
        <v>3</v>
      </c>
      <c r="E67" s="79" t="s">
        <v>412</v>
      </c>
    </row>
    <row r="68" spans="3:5">
      <c r="D68" s="38">
        <v>12</v>
      </c>
      <c r="E68" s="79" t="s">
        <v>413</v>
      </c>
    </row>
    <row r="69" spans="3:5">
      <c r="D69" s="38">
        <v>7</v>
      </c>
      <c r="E69" s="79" t="s">
        <v>414</v>
      </c>
    </row>
    <row r="70" spans="3:5">
      <c r="D70" s="38" t="s">
        <v>415</v>
      </c>
      <c r="E70" s="79" t="s">
        <v>416</v>
      </c>
    </row>
    <row r="71" spans="3:5">
      <c r="D71" s="38" t="s">
        <v>417</v>
      </c>
      <c r="E71" s="79" t="s">
        <v>418</v>
      </c>
    </row>
    <row r="72" spans="3:5">
      <c r="D72" s="38" t="s">
        <v>419</v>
      </c>
      <c r="E72" s="79" t="s">
        <v>420</v>
      </c>
    </row>
    <row r="73" spans="3:5">
      <c r="D73" s="38" t="s">
        <v>421</v>
      </c>
      <c r="E73" s="79" t="s">
        <v>422</v>
      </c>
    </row>
    <row r="74" spans="3:5">
      <c r="D74" s="38">
        <v>0.5</v>
      </c>
      <c r="E74" s="79" t="s">
        <v>423</v>
      </c>
    </row>
    <row r="75" spans="3:5">
      <c r="D75" s="38" t="s">
        <v>424</v>
      </c>
      <c r="E75" s="79" t="s">
        <v>424</v>
      </c>
    </row>
    <row r="76" spans="3:5">
      <c r="D76" s="38" t="s">
        <v>425</v>
      </c>
      <c r="E76" s="79" t="s">
        <v>425</v>
      </c>
    </row>
    <row r="77" spans="3:5">
      <c r="E77" s="78"/>
    </row>
    <row r="78" spans="3:5">
      <c r="C78" s="25" t="s">
        <v>409</v>
      </c>
      <c r="E78" s="37" t="s">
        <v>410</v>
      </c>
    </row>
    <row r="79" spans="3:5">
      <c r="E79" s="79" t="s">
        <v>426</v>
      </c>
    </row>
    <row r="80" spans="3:5">
      <c r="D80" s="38" t="s">
        <v>338</v>
      </c>
      <c r="E80" s="79" t="s">
        <v>338</v>
      </c>
    </row>
    <row r="81" spans="3:5">
      <c r="D81" s="38" t="s">
        <v>337</v>
      </c>
      <c r="E81" s="79" t="s">
        <v>337</v>
      </c>
    </row>
    <row r="82" spans="3:5">
      <c r="E82" s="78"/>
    </row>
    <row r="83" spans="3:5">
      <c r="C83" s="25" t="s">
        <v>21</v>
      </c>
      <c r="E83" s="37" t="s">
        <v>410</v>
      </c>
    </row>
    <row r="84" spans="3:5">
      <c r="E84" s="79" t="s">
        <v>427</v>
      </c>
    </row>
    <row r="85" spans="3:5">
      <c r="D85" s="38" t="s">
        <v>428</v>
      </c>
    </row>
    <row r="86" spans="3:5">
      <c r="D86" s="38" t="s">
        <v>429</v>
      </c>
    </row>
    <row r="87" spans="3:5">
      <c r="D87" s="38" t="s">
        <v>430</v>
      </c>
    </row>
    <row r="89" spans="3:5">
      <c r="C89" s="25" t="s">
        <v>431</v>
      </c>
      <c r="E89" s="37" t="s">
        <v>410</v>
      </c>
    </row>
    <row r="90" spans="3:5">
      <c r="E90" s="79" t="s">
        <v>432</v>
      </c>
    </row>
    <row r="91" spans="3:5">
      <c r="D91" s="38" t="s">
        <v>428</v>
      </c>
    </row>
    <row r="92" spans="3:5">
      <c r="D92" s="38" t="s">
        <v>429</v>
      </c>
    </row>
    <row r="93" spans="3:5">
      <c r="D93" s="38" t="s">
        <v>433</v>
      </c>
    </row>
    <row r="94" spans="3:5">
      <c r="D94" s="38" t="s">
        <v>434</v>
      </c>
    </row>
    <row r="95" spans="3:5">
      <c r="D95" s="79"/>
    </row>
    <row r="96" spans="3:5">
      <c r="C96" s="25" t="s">
        <v>435</v>
      </c>
    </row>
    <row r="98" spans="3:5">
      <c r="D98" s="37" t="s">
        <v>436</v>
      </c>
      <c r="E98" s="37" t="s">
        <v>437</v>
      </c>
    </row>
    <row r="99" spans="3:5">
      <c r="D99" s="38" t="s">
        <v>438</v>
      </c>
      <c r="E99" s="38">
        <v>1</v>
      </c>
    </row>
    <row r="100" spans="3:5">
      <c r="D100" s="38" t="s">
        <v>439</v>
      </c>
      <c r="E100" s="38">
        <v>2</v>
      </c>
    </row>
    <row r="101" spans="3:5">
      <c r="D101" s="38" t="s">
        <v>440</v>
      </c>
      <c r="E101" s="38">
        <v>3</v>
      </c>
    </row>
    <row r="102" spans="3:5">
      <c r="D102" s="38" t="s">
        <v>441</v>
      </c>
      <c r="E102" s="77">
        <f>E99</f>
        <v>1</v>
      </c>
    </row>
    <row r="103" spans="3:5">
      <c r="D103" s="38" t="s">
        <v>442</v>
      </c>
      <c r="E103" s="77">
        <f t="shared" ref="E103:E110" si="43">E100</f>
        <v>2</v>
      </c>
    </row>
    <row r="104" spans="3:5">
      <c r="D104" s="38" t="s">
        <v>443</v>
      </c>
      <c r="E104" s="77">
        <f t="shared" si="43"/>
        <v>3</v>
      </c>
    </row>
    <row r="105" spans="3:5">
      <c r="D105" s="38" t="s">
        <v>444</v>
      </c>
      <c r="E105" s="77">
        <f t="shared" si="43"/>
        <v>1</v>
      </c>
    </row>
    <row r="106" spans="3:5">
      <c r="D106" s="38" t="s">
        <v>445</v>
      </c>
      <c r="E106" s="77">
        <f t="shared" si="43"/>
        <v>2</v>
      </c>
    </row>
    <row r="107" spans="3:5">
      <c r="D107" s="38" t="s">
        <v>446</v>
      </c>
      <c r="E107" s="77">
        <f t="shared" si="43"/>
        <v>3</v>
      </c>
    </row>
    <row r="108" spans="3:5">
      <c r="D108" s="38" t="s">
        <v>447</v>
      </c>
      <c r="E108" s="77">
        <f t="shared" si="43"/>
        <v>1</v>
      </c>
    </row>
    <row r="109" spans="3:5">
      <c r="D109" s="38" t="s">
        <v>448</v>
      </c>
      <c r="E109" s="77">
        <f t="shared" si="43"/>
        <v>2</v>
      </c>
    </row>
    <row r="110" spans="3:5">
      <c r="D110" s="38" t="s">
        <v>449</v>
      </c>
      <c r="E110" s="77">
        <f t="shared" si="43"/>
        <v>3</v>
      </c>
    </row>
    <row r="112" spans="3:5">
      <c r="C112" s="25" t="s">
        <v>450</v>
      </c>
      <c r="E112" s="37" t="s">
        <v>410</v>
      </c>
    </row>
    <row r="113" spans="4:5">
      <c r="D113" s="37"/>
    </row>
    <row r="114" spans="4:5">
      <c r="D114" s="38">
        <v>1</v>
      </c>
      <c r="E114" s="79" t="s">
        <v>451</v>
      </c>
    </row>
    <row r="115" spans="4:5">
      <c r="D115" s="38">
        <v>2</v>
      </c>
      <c r="E115" s="79" t="s">
        <v>452</v>
      </c>
    </row>
    <row r="116" spans="4:5">
      <c r="D116" s="38">
        <v>3</v>
      </c>
      <c r="E116" s="79" t="s">
        <v>453</v>
      </c>
    </row>
    <row r="117" spans="4:5">
      <c r="D117" s="38">
        <v>4</v>
      </c>
      <c r="E117" s="79" t="s">
        <v>454</v>
      </c>
    </row>
    <row r="118" spans="4:5">
      <c r="D118" s="38">
        <v>5</v>
      </c>
      <c r="E118" s="79" t="s">
        <v>455</v>
      </c>
    </row>
    <row r="119" spans="4:5">
      <c r="D119" s="38">
        <v>6</v>
      </c>
      <c r="E119" s="79" t="s">
        <v>456</v>
      </c>
    </row>
    <row r="120" spans="4:5">
      <c r="D120" s="38">
        <v>7</v>
      </c>
      <c r="E120" s="79" t="s">
        <v>457</v>
      </c>
    </row>
  </sheetData>
  <conditionalFormatting sqref="B2">
    <cfRule type="cellIs" dxfId="0" priority="1" operator="notEqual">
      <formula>"No Errors Found"</formula>
    </cfRule>
  </conditionalFormatting>
  <pageMargins left="0.7" right="0.7" top="0.75" bottom="0.75" header="0.3" footer="0.3"/>
  <pageSetup paperSize="9" orientation="portrait" r:id="rId1"/>
  <headerFooter>
    <oddFooter>&amp;L&amp;1#&amp;"Calibri"&amp;10Sensitivity: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88805D76205F46ADBC12780B43A165" ma:contentTypeVersion="0" ma:contentTypeDescription="Create a new document." ma:contentTypeScope="" ma:versionID="2c2b9220d0b416dc59f0f003a0a00e63">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46B1BE-F0CA-4D8B-8689-64A7AF60987E}"/>
</file>

<file path=customXml/itemProps2.xml><?xml version="1.0" encoding="utf-8"?>
<ds:datastoreItem xmlns:ds="http://schemas.openxmlformats.org/officeDocument/2006/customXml" ds:itemID="{AB8D9E41-B9A5-44AB-9E57-C2BBE3FBCF49}"/>
</file>

<file path=customXml/itemProps3.xml><?xml version="1.0" encoding="utf-8"?>
<ds:datastoreItem xmlns:ds="http://schemas.openxmlformats.org/officeDocument/2006/customXml" ds:itemID="{130DFB55-9119-4747-8A04-5C22BC7DCE0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Henry Wu</dc:creator>
  <cp:keywords/>
  <dc:description/>
  <cp:lastModifiedBy>Jean Ku</cp:lastModifiedBy>
  <cp:revision/>
  <dcterms:created xsi:type="dcterms:W3CDTF">2012-02-19T06:14:59Z</dcterms:created>
  <dcterms:modified xsi:type="dcterms:W3CDTF">2018-08-22T20:54:38Z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Ref">
    <vt:lpwstr>https://rmsibizaapiprod.cloudapp.net/api/policy\f8b1cea4-6b5a-4c2a-8108-dc03224ab8b1</vt:lpwstr>
  </property>
  <property fmtid="{D5CDD505-2E9C-101B-9397-08002B2CF9AE}" pid="4" name="MSIP_Label_f42aa342-8706-4288-bd11-ebb85995028c_AssignedBy">
    <vt:lpwstr>tafen@microsoft.com</vt:lpwstr>
  </property>
  <property fmtid="{D5CDD505-2E9C-101B-9397-08002B2CF9AE}" pid="5" name="MSIP_Label_f42aa342-8706-4288-bd11-ebb85995028c_DateCreated">
    <vt:lpwstr>2016-08-24T14:03:26.8710422-07:00</vt:lpwstr>
  </property>
  <property fmtid="{D5CDD505-2E9C-101B-9397-08002B2CF9AE}" pid="6" name="MSIP_Label_f42aa342-8706-4288-bd11-ebb85995028c_Extended_MSFT_Method">
    <vt:lpwstr>Automatic</vt:lpwstr>
  </property>
  <property fmtid="{D5CDD505-2E9C-101B-9397-08002B2CF9AE}" pid="7" name="ContentTypeId">
    <vt:lpwstr>0x0101001288805D76205F46ADBC12780B43A165</vt:lpwstr>
  </property>
  <property fmtid="{D5CDD505-2E9C-101B-9397-08002B2CF9AE}" pid="8" name="k5815f2f64cc4486813768a23b3745fd">
    <vt:lpwstr>WAC|b37c2f13-a8a5-4a38-9f4a-05c7987d9963</vt:lpwstr>
  </property>
  <property fmtid="{D5CDD505-2E9C-101B-9397-08002B2CF9AE}" pid="9" name="Team">
    <vt:lpwstr>5;#WAC|b37c2f13-a8a5-4a38-9f4a-05c7987d9963</vt:lpwstr>
  </property>
  <property fmtid="{D5CDD505-2E9C-101B-9397-08002B2CF9AE}" pid="10" name="TaxCatchAll">
    <vt:lpwstr>5;#WAC|b37c2f13-a8a5-4a38-9f4a-05c7987d9963</vt:lpwstr>
  </property>
  <property fmtid="{D5CDD505-2E9C-101B-9397-08002B2CF9AE}" pid="11" name="_dlc_DocIdItemGuid">
    <vt:lpwstr>5e2cf828-786e-4261-9299-d85cc833e70a</vt:lpwstr>
  </property>
</Properties>
</file>