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milo.diaz.carvajal\Documents\CAMILO\CLASES\PAYROLL RECEIPT\"/>
    </mc:Choice>
  </mc:AlternateContent>
  <xr:revisionPtr revIDLastSave="0" documentId="8_{F53CCDD2-E36F-44B8-9018-FD5D58F7F205}" xr6:coauthVersionLast="45" xr6:coauthVersionMax="45" xr10:uidLastSave="{00000000-0000-0000-0000-000000000000}"/>
  <bookViews>
    <workbookView xWindow="-110" yWindow="-110" windowWidth="19420" windowHeight="10420" activeTab="2" xr2:uid="{83A69C00-8CBA-4558-A681-0D890FF17DA3}"/>
  </bookViews>
  <sheets>
    <sheet name="Ben y Apor" sheetId="2" r:id="rId1"/>
    <sheet name="PLANTILLA" sheetId="1" r:id="rId2"/>
    <sheet name="INFO EMPLEADO" sheetId="3" r:id="rId3"/>
    <sheet name="TEM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" l="1"/>
  <c r="E23" i="3"/>
  <c r="D21" i="3"/>
  <c r="D19" i="3"/>
  <c r="D17" i="3"/>
  <c r="D10" i="3"/>
  <c r="E13" i="3"/>
  <c r="C13" i="3"/>
  <c r="E10" i="3"/>
  <c r="P3" i="1"/>
  <c r="P4" i="1"/>
  <c r="P5" i="1"/>
  <c r="P6" i="1"/>
  <c r="P7" i="1"/>
  <c r="P8" i="1"/>
  <c r="P9" i="1"/>
  <c r="P10" i="1"/>
  <c r="P11" i="1"/>
  <c r="P2" i="1"/>
  <c r="D3" i="1"/>
  <c r="D4" i="1"/>
  <c r="D5" i="1"/>
  <c r="D6" i="1"/>
  <c r="D7" i="1"/>
  <c r="D8" i="1"/>
  <c r="D9" i="1"/>
  <c r="D10" i="1"/>
  <c r="D11" i="1"/>
  <c r="D2" i="1"/>
  <c r="M3" i="1" l="1"/>
  <c r="M4" i="1"/>
  <c r="M5" i="1"/>
  <c r="M6" i="1"/>
  <c r="M7" i="1"/>
  <c r="M8" i="1"/>
  <c r="M9" i="1"/>
  <c r="M10" i="1"/>
  <c r="M11" i="1"/>
  <c r="S11" i="1" s="1"/>
  <c r="M2" i="1"/>
  <c r="L3" i="1"/>
  <c r="L4" i="1"/>
  <c r="L5" i="1"/>
  <c r="S5" i="1" s="1"/>
  <c r="L6" i="1"/>
  <c r="S6" i="1" s="1"/>
  <c r="L7" i="1"/>
  <c r="L8" i="1"/>
  <c r="L9" i="1"/>
  <c r="L10" i="1"/>
  <c r="S10" i="1" s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R6" i="1" s="1"/>
  <c r="J7" i="1"/>
  <c r="J8" i="1"/>
  <c r="J9" i="1"/>
  <c r="J10" i="1"/>
  <c r="R10" i="1" s="1"/>
  <c r="J11" i="1"/>
  <c r="J2" i="1"/>
  <c r="S7" i="1"/>
  <c r="I3" i="1"/>
  <c r="I4" i="1"/>
  <c r="I5" i="1"/>
  <c r="I6" i="1"/>
  <c r="I7" i="1"/>
  <c r="I8" i="1"/>
  <c r="I9" i="1"/>
  <c r="I10" i="1"/>
  <c r="I11" i="1"/>
  <c r="I2" i="1"/>
  <c r="Q3" i="1"/>
  <c r="U3" i="1" s="1"/>
  <c r="W3" i="1" s="1"/>
  <c r="X3" i="1" s="1"/>
  <c r="Y3" i="1" s="1"/>
  <c r="Q4" i="1"/>
  <c r="U4" i="1" s="1"/>
  <c r="W4" i="1" s="1"/>
  <c r="Q5" i="1"/>
  <c r="U5" i="1" s="1"/>
  <c r="W5" i="1" s="1"/>
  <c r="Q6" i="1"/>
  <c r="U6" i="1" s="1"/>
  <c r="W6" i="1" s="1"/>
  <c r="Q7" i="1"/>
  <c r="U7" i="1" s="1"/>
  <c r="W7" i="1" s="1"/>
  <c r="Q8" i="1"/>
  <c r="U8" i="1" s="1"/>
  <c r="W8" i="1" s="1"/>
  <c r="Q9" i="1"/>
  <c r="U9" i="1" s="1"/>
  <c r="W9" i="1" s="1"/>
  <c r="Q10" i="1"/>
  <c r="U10" i="1" s="1"/>
  <c r="W10" i="1" s="1"/>
  <c r="Q11" i="1"/>
  <c r="U11" i="1" s="1"/>
  <c r="W11" i="1" s="1"/>
  <c r="Q2" i="1"/>
  <c r="U2" i="1" s="1"/>
  <c r="W2" i="1" s="1"/>
  <c r="E29" i="3" l="1"/>
  <c r="R9" i="1"/>
  <c r="S8" i="1"/>
  <c r="R11" i="1"/>
  <c r="R3" i="1"/>
  <c r="R5" i="1"/>
  <c r="T5" i="1" s="1"/>
  <c r="S9" i="1"/>
  <c r="T9" i="1" s="1"/>
  <c r="R4" i="1"/>
  <c r="R8" i="1"/>
  <c r="R7" i="1"/>
  <c r="S3" i="1"/>
  <c r="X6" i="1"/>
  <c r="Y6" i="1" s="1"/>
  <c r="X11" i="1"/>
  <c r="Y11" i="1" s="1"/>
  <c r="X8" i="1"/>
  <c r="Y8" i="1" s="1"/>
  <c r="X10" i="1"/>
  <c r="Y10" i="1" s="1"/>
  <c r="X7" i="1"/>
  <c r="Y7" i="1" s="1"/>
  <c r="X9" i="1"/>
  <c r="Y9" i="1" s="1"/>
  <c r="X5" i="1"/>
  <c r="Y5" i="1" s="1"/>
  <c r="X4" i="1"/>
  <c r="Y4" i="1" s="1"/>
  <c r="X2" i="1"/>
  <c r="Y2" i="1" s="1"/>
  <c r="T11" i="1"/>
  <c r="S4" i="1"/>
  <c r="S2" i="1"/>
  <c r="T10" i="1"/>
  <c r="T8" i="1"/>
  <c r="T7" i="1"/>
  <c r="T3" i="1"/>
  <c r="T6" i="1"/>
  <c r="R2" i="1"/>
  <c r="D28" i="3" l="1"/>
  <c r="D30" i="3" s="1"/>
  <c r="T4" i="1"/>
  <c r="T2" i="1"/>
</calcChain>
</file>

<file path=xl/sharedStrings.xml><?xml version="1.0" encoding="utf-8"?>
<sst xmlns="http://schemas.openxmlformats.org/spreadsheetml/2006/main" count="96" uniqueCount="78">
  <si>
    <t>ID empleado</t>
  </si>
  <si>
    <t>Apellido</t>
  </si>
  <si>
    <t>Nombre</t>
  </si>
  <si>
    <t>Departamento</t>
  </si>
  <si>
    <t>Cargo</t>
  </si>
  <si>
    <t>Fecha comienzo</t>
  </si>
  <si>
    <t>Fecha nacimiento</t>
  </si>
  <si>
    <t>García</t>
  </si>
  <si>
    <t>Jeronimo</t>
  </si>
  <si>
    <t>Administración</t>
  </si>
  <si>
    <t>Administrativo</t>
  </si>
  <si>
    <t>Giménez</t>
  </si>
  <si>
    <t>Estefania</t>
  </si>
  <si>
    <t>Docente</t>
  </si>
  <si>
    <t>Pérez</t>
  </si>
  <si>
    <t>Guillermo</t>
  </si>
  <si>
    <t>Soriano</t>
  </si>
  <si>
    <t>Eliana</t>
  </si>
  <si>
    <t>Gutierrez</t>
  </si>
  <si>
    <t>Jose</t>
  </si>
  <si>
    <t>Reina</t>
  </si>
  <si>
    <t>Marcela</t>
  </si>
  <si>
    <t>Aux. Administrativo</t>
  </si>
  <si>
    <t>Ramirez</t>
  </si>
  <si>
    <t>Daniela</t>
  </si>
  <si>
    <t>Karla</t>
  </si>
  <si>
    <t>Solano</t>
  </si>
  <si>
    <t>Jefe</t>
  </si>
  <si>
    <t>Diaz</t>
  </si>
  <si>
    <t>Valentina</t>
  </si>
  <si>
    <t>Gerente</t>
  </si>
  <si>
    <t>Mesa</t>
  </si>
  <si>
    <t>Administrativo Sr</t>
  </si>
  <si>
    <t>Fecha actual</t>
  </si>
  <si>
    <t>Dias laborados</t>
  </si>
  <si>
    <t>Salario Mes</t>
  </si>
  <si>
    <t>Salario Diario</t>
  </si>
  <si>
    <t>Beneficios Prepagada</t>
  </si>
  <si>
    <t>Aux Alimentacion</t>
  </si>
  <si>
    <t>Aporte Salud</t>
  </si>
  <si>
    <t>Aporte Pension</t>
  </si>
  <si>
    <t>Total Devengos</t>
  </si>
  <si>
    <t>Total Descuentos</t>
  </si>
  <si>
    <t>Total A Pagar</t>
  </si>
  <si>
    <t>Finanzas</t>
  </si>
  <si>
    <t>IT</t>
  </si>
  <si>
    <t>Mercadeo</t>
  </si>
  <si>
    <t>Vacaciones</t>
  </si>
  <si>
    <t>Dias x año</t>
  </si>
  <si>
    <t>Dias Vacaciones x año</t>
  </si>
  <si>
    <t>Vacaciones Disfrutadas</t>
  </si>
  <si>
    <t>Vacaciones Totales</t>
  </si>
  <si>
    <t>Vacaciones con Dinero</t>
  </si>
  <si>
    <t>Vacaciones con Dinero($)</t>
  </si>
  <si>
    <t>Empleado</t>
  </si>
  <si>
    <t>Nombre Completo</t>
  </si>
  <si>
    <t>ID Empleado</t>
  </si>
  <si>
    <t>Fecha de Ingreso</t>
  </si>
  <si>
    <t>Fecha de Reporte</t>
  </si>
  <si>
    <t>Cedula</t>
  </si>
  <si>
    <t>Cédula Empleado</t>
  </si>
  <si>
    <t>Tipo De Pago</t>
  </si>
  <si>
    <t>Devengos</t>
  </si>
  <si>
    <t>Descuentos</t>
  </si>
  <si>
    <t>Prepagada</t>
  </si>
  <si>
    <t>Alimentacion</t>
  </si>
  <si>
    <t>Salud</t>
  </si>
  <si>
    <t>Pension</t>
  </si>
  <si>
    <t>Neto a Pagar</t>
  </si>
  <si>
    <t>TEMAS</t>
  </si>
  <si>
    <t>CONCATENAR: 2 formas de concatenar</t>
  </si>
  <si>
    <t>Función ALEATORIO.ENTRE - RANDBETWEEN</t>
  </si>
  <si>
    <t xml:space="preserve">Funcion HOY - TODAY </t>
  </si>
  <si>
    <t>Función BUSCARV - VLOOKUP</t>
  </si>
  <si>
    <t>Función BUSCARX - XLOOKUP</t>
  </si>
  <si>
    <t>Funcion SUMA - SUM</t>
  </si>
  <si>
    <t>COMPROBANTE DE PAGO (PYMES)</t>
  </si>
  <si>
    <t>Lista Desplegable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</si>
</sst>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2"/>
      <color theme="0"/>
      <name val="Lato"/>
      <family val="2"/>
    </font>
    <font>
      <sz val="10"/>
      <name val="MS Sans Serif"/>
      <family val="2"/>
    </font>
    <font>
      <b/>
      <sz val="12"/>
      <color rgb="FF5D94A0"/>
      <name val="Lato"/>
      <family val="2"/>
    </font>
    <font>
      <sz val="12"/>
      <color theme="1" tint="0.34998626667073579"/>
      <name val="Lato"/>
      <family val="2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11"/>
      <color rgb="FFFF0000"/>
      <name val="Franklin Gothic Book"/>
      <family val="2"/>
    </font>
    <font>
      <b/>
      <sz val="11"/>
      <color theme="1"/>
      <name val="Calibri"/>
      <family val="2"/>
      <scheme val="minor"/>
    </font>
    <font>
      <b/>
      <sz val="11"/>
      <color theme="7"/>
      <name val="Franklin Gothic Book"/>
      <family val="2"/>
    </font>
  </fonts>
  <fills count="10">
    <fill>
      <patternFill patternType="none"/>
    </fill>
    <fill>
      <patternFill patternType="gray125"/>
    </fill>
    <fill>
      <patternFill patternType="solid">
        <fgColor rgb="FF5D94A0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dotted">
        <color theme="0" tint="-0.14999847407452621"/>
      </bottom>
      <diagonal/>
    </border>
    <border>
      <left/>
      <right style="dotted">
        <color theme="0" tint="-0.14999847407452621"/>
      </right>
      <top style="medium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medium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dotted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medium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dotted">
        <color theme="0" tint="-0.14999847407452621"/>
      </left>
      <right style="dotted">
        <color theme="0" tint="-0.14999847407452621"/>
      </right>
      <top/>
      <bottom/>
      <diagonal/>
    </border>
    <border>
      <left/>
      <right style="dotted">
        <color theme="0" tint="-0.14999847407452621"/>
      </right>
      <top/>
      <bottom/>
      <diagonal/>
    </border>
    <border>
      <left style="dotted">
        <color theme="0" tint="-0.14999847407452621"/>
      </left>
      <right/>
      <top style="medium">
        <color theme="0" tint="-0.14999847407452621"/>
      </top>
      <bottom style="dotted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8" fontId="4" fillId="0" borderId="0" applyFont="0" applyFill="0" applyBorder="0" applyAlignment="0" applyProtection="0"/>
    <xf numFmtId="0" fontId="4" fillId="0" borderId="0"/>
  </cellStyleXfs>
  <cellXfs count="97">
    <xf numFmtId="0" fontId="0" fillId="0" borderId="0" xfId="0"/>
    <xf numFmtId="0" fontId="3" fillId="2" borderId="1" xfId="2" applyFont="1" applyFill="1" applyBorder="1" applyAlignment="1">
      <alignment horizontal="center"/>
    </xf>
    <xf numFmtId="14" fontId="3" fillId="2" borderId="1" xfId="2" applyNumberFormat="1" applyFont="1" applyFill="1" applyBorder="1" applyAlignment="1">
      <alignment horizontal="center"/>
    </xf>
    <xf numFmtId="0" fontId="5" fillId="3" borderId="2" xfId="4" applyFont="1" applyFill="1" applyBorder="1" applyAlignment="1">
      <alignment horizontal="center"/>
    </xf>
    <xf numFmtId="0" fontId="6" fillId="0" borderId="3" xfId="4" applyFont="1" applyBorder="1" applyAlignment="1">
      <alignment horizontal="left"/>
    </xf>
    <xf numFmtId="0" fontId="6" fillId="0" borderId="4" xfId="4" applyFont="1" applyBorder="1"/>
    <xf numFmtId="14" fontId="6" fillId="0" borderId="4" xfId="4" applyNumberFormat="1" applyFont="1" applyBorder="1"/>
    <xf numFmtId="14" fontId="6" fillId="0" borderId="5" xfId="4" applyNumberFormat="1" applyFont="1" applyBorder="1" applyAlignment="1">
      <alignment horizontal="center"/>
    </xf>
    <xf numFmtId="0" fontId="5" fillId="3" borderId="6" xfId="4" applyFont="1" applyFill="1" applyBorder="1" applyAlignment="1">
      <alignment horizontal="center"/>
    </xf>
    <xf numFmtId="0" fontId="6" fillId="0" borderId="7" xfId="4" applyFont="1" applyBorder="1" applyAlignment="1">
      <alignment horizontal="left"/>
    </xf>
    <xf numFmtId="0" fontId="6" fillId="0" borderId="8" xfId="4" applyFont="1" applyBorder="1"/>
    <xf numFmtId="14" fontId="6" fillId="0" borderId="8" xfId="4" applyNumberFormat="1" applyFont="1" applyBorder="1"/>
    <xf numFmtId="14" fontId="6" fillId="0" borderId="9" xfId="4" applyNumberFormat="1" applyFont="1" applyBorder="1" applyAlignment="1">
      <alignment horizontal="center"/>
    </xf>
    <xf numFmtId="0" fontId="5" fillId="3" borderId="10" xfId="4" applyFont="1" applyFill="1" applyBorder="1" applyAlignment="1">
      <alignment horizontal="center"/>
    </xf>
    <xf numFmtId="0" fontId="6" fillId="0" borderId="11" xfId="4" applyFont="1" applyFill="1" applyBorder="1"/>
    <xf numFmtId="0" fontId="6" fillId="0" borderId="12" xfId="4" applyFont="1" applyFill="1" applyBorder="1" applyAlignment="1">
      <alignment horizontal="left"/>
    </xf>
    <xf numFmtId="14" fontId="6" fillId="0" borderId="12" xfId="4" applyNumberFormat="1" applyFont="1" applyFill="1" applyBorder="1" applyAlignment="1">
      <alignment horizontal="center"/>
    </xf>
    <xf numFmtId="14" fontId="6" fillId="0" borderId="11" xfId="4" applyNumberFormat="1" applyFont="1" applyFill="1" applyBorder="1"/>
    <xf numFmtId="14" fontId="3" fillId="2" borderId="10" xfId="2" applyNumberFormat="1" applyFont="1" applyFill="1" applyBorder="1" applyAlignment="1">
      <alignment horizontal="center"/>
    </xf>
    <xf numFmtId="0" fontId="3" fillId="2" borderId="10" xfId="2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4" fontId="3" fillId="2" borderId="1" xfId="1" applyFont="1" applyFill="1" applyBorder="1" applyAlignment="1">
      <alignment horizontal="center"/>
    </xf>
    <xf numFmtId="44" fontId="6" fillId="0" borderId="4" xfId="1" applyFont="1" applyBorder="1"/>
    <xf numFmtId="44" fontId="6" fillId="0" borderId="8" xfId="1" applyFont="1" applyBorder="1"/>
    <xf numFmtId="44" fontId="6" fillId="0" borderId="11" xfId="1" applyFont="1" applyFill="1" applyBorder="1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3" fillId="2" borderId="10" xfId="1" applyFont="1" applyFill="1" applyBorder="1" applyAlignment="1">
      <alignment horizontal="center"/>
    </xf>
    <xf numFmtId="44" fontId="6" fillId="4" borderId="13" xfId="1" applyFont="1" applyFill="1" applyBorder="1"/>
    <xf numFmtId="14" fontId="6" fillId="4" borderId="3" xfId="4" applyNumberFormat="1" applyFont="1" applyFill="1" applyBorder="1" applyAlignment="1">
      <alignment horizontal="center"/>
    </xf>
    <xf numFmtId="0" fontId="6" fillId="4" borderId="4" xfId="4" applyFont="1" applyFill="1" applyBorder="1" applyAlignment="1">
      <alignment horizontal="center"/>
    </xf>
    <xf numFmtId="44" fontId="6" fillId="4" borderId="4" xfId="1" applyFont="1" applyFill="1" applyBorder="1"/>
    <xf numFmtId="2" fontId="6" fillId="4" borderId="13" xfId="1" applyNumberFormat="1" applyFont="1" applyFill="1" applyBorder="1"/>
    <xf numFmtId="0" fontId="6" fillId="4" borderId="8" xfId="4" applyFont="1" applyFill="1" applyBorder="1" applyAlignment="1">
      <alignment horizontal="center"/>
    </xf>
    <xf numFmtId="44" fontId="6" fillId="4" borderId="8" xfId="1" applyFont="1" applyFill="1" applyBorder="1"/>
    <xf numFmtId="0" fontId="6" fillId="4" borderId="11" xfId="4" applyFont="1" applyFill="1" applyBorder="1" applyAlignment="1">
      <alignment horizontal="center"/>
    </xf>
    <xf numFmtId="44" fontId="6" fillId="4" borderId="11" xfId="1" applyFont="1" applyFill="1" applyBorder="1"/>
    <xf numFmtId="0" fontId="7" fillId="0" borderId="0" xfId="0" applyFont="1" applyFill="1"/>
    <xf numFmtId="2" fontId="6" fillId="0" borderId="13" xfId="1" applyNumberFormat="1" applyFont="1" applyFill="1" applyBorder="1" applyAlignment="1">
      <alignment horizontal="center"/>
    </xf>
    <xf numFmtId="2" fontId="6" fillId="4" borderId="13" xfId="1" applyNumberFormat="1" applyFont="1" applyFill="1" applyBorder="1" applyAlignment="1">
      <alignment horizontal="center"/>
    </xf>
    <xf numFmtId="0" fontId="10" fillId="5" borderId="16" xfId="0" applyFont="1" applyFill="1" applyBorder="1"/>
    <xf numFmtId="44" fontId="10" fillId="5" borderId="18" xfId="1" applyFont="1" applyFill="1" applyBorder="1"/>
    <xf numFmtId="0" fontId="10" fillId="5" borderId="21" xfId="0" applyFont="1" applyFill="1" applyBorder="1"/>
    <xf numFmtId="44" fontId="10" fillId="5" borderId="23" xfId="1" applyFont="1" applyFill="1" applyBorder="1"/>
    <xf numFmtId="0" fontId="10" fillId="5" borderId="18" xfId="0" applyFont="1" applyFill="1" applyBorder="1"/>
    <xf numFmtId="0" fontId="10" fillId="5" borderId="23" xfId="0" applyFont="1" applyFill="1" applyBorder="1"/>
    <xf numFmtId="0" fontId="10" fillId="6" borderId="16" xfId="0" applyFont="1" applyFill="1" applyBorder="1"/>
    <xf numFmtId="9" fontId="10" fillId="6" borderId="18" xfId="0" applyNumberFormat="1" applyFont="1" applyFill="1" applyBorder="1"/>
    <xf numFmtId="0" fontId="10" fillId="6" borderId="21" xfId="0" applyFont="1" applyFill="1" applyBorder="1"/>
    <xf numFmtId="9" fontId="10" fillId="6" borderId="23" xfId="0" applyNumberFormat="1" applyFont="1" applyFill="1" applyBorder="1"/>
    <xf numFmtId="0" fontId="7" fillId="4" borderId="16" xfId="0" applyFont="1" applyFill="1" applyBorder="1"/>
    <xf numFmtId="0" fontId="7" fillId="4" borderId="17" xfId="0" applyFont="1" applyFill="1" applyBorder="1"/>
    <xf numFmtId="0" fontId="7" fillId="4" borderId="18" xfId="0" applyFont="1" applyFill="1" applyBorder="1"/>
    <xf numFmtId="0" fontId="7" fillId="4" borderId="19" xfId="0" applyFont="1" applyFill="1" applyBorder="1"/>
    <xf numFmtId="0" fontId="7" fillId="4" borderId="0" xfId="0" applyFont="1" applyFill="1" applyBorder="1"/>
    <xf numFmtId="0" fontId="8" fillId="4" borderId="16" xfId="0" applyFont="1" applyFill="1" applyBorder="1" applyAlignment="1"/>
    <xf numFmtId="0" fontId="8" fillId="4" borderId="18" xfId="0" applyFont="1" applyFill="1" applyBorder="1" applyAlignment="1">
      <alignment horizontal="center"/>
    </xf>
    <xf numFmtId="0" fontId="7" fillId="4" borderId="20" xfId="0" applyFont="1" applyFill="1" applyBorder="1"/>
    <xf numFmtId="14" fontId="8" fillId="4" borderId="21" xfId="0" applyNumberFormat="1" applyFont="1" applyFill="1" applyBorder="1" applyAlignment="1">
      <alignment horizontal="center" wrapText="1"/>
    </xf>
    <xf numFmtId="14" fontId="8" fillId="4" borderId="23" xfId="0" applyNumberFormat="1" applyFont="1" applyFill="1" applyBorder="1" applyAlignment="1">
      <alignment horizontal="center"/>
    </xf>
    <xf numFmtId="0" fontId="7" fillId="4" borderId="0" xfId="0" applyFont="1" applyFill="1"/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center"/>
    </xf>
    <xf numFmtId="0" fontId="8" fillId="4" borderId="14" xfId="0" applyFont="1" applyFill="1" applyBorder="1"/>
    <xf numFmtId="0" fontId="8" fillId="4" borderId="24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/>
    <xf numFmtId="44" fontId="8" fillId="4" borderId="17" xfId="1" applyFont="1" applyFill="1" applyBorder="1"/>
    <xf numFmtId="44" fontId="8" fillId="4" borderId="0" xfId="1" applyFont="1" applyFill="1" applyBorder="1"/>
    <xf numFmtId="0" fontId="8" fillId="4" borderId="19" xfId="0" applyFont="1" applyFill="1" applyBorder="1"/>
    <xf numFmtId="0" fontId="8" fillId="4" borderId="21" xfId="0" applyFont="1" applyFill="1" applyBorder="1"/>
    <xf numFmtId="44" fontId="8" fillId="4" borderId="22" xfId="1" applyFont="1" applyFill="1" applyBorder="1"/>
    <xf numFmtId="0" fontId="7" fillId="4" borderId="23" xfId="0" applyFont="1" applyFill="1" applyBorder="1"/>
    <xf numFmtId="0" fontId="9" fillId="4" borderId="16" xfId="0" applyFont="1" applyFill="1" applyBorder="1"/>
    <xf numFmtId="44" fontId="8" fillId="4" borderId="18" xfId="1" applyFont="1" applyFill="1" applyBorder="1"/>
    <xf numFmtId="0" fontId="9" fillId="4" borderId="19" xfId="0" applyFont="1" applyFill="1" applyBorder="1"/>
    <xf numFmtId="44" fontId="8" fillId="4" borderId="20" xfId="1" applyFont="1" applyFill="1" applyBorder="1"/>
    <xf numFmtId="0" fontId="9" fillId="4" borderId="21" xfId="0" applyFont="1" applyFill="1" applyBorder="1"/>
    <xf numFmtId="0" fontId="7" fillId="4" borderId="22" xfId="0" applyFont="1" applyFill="1" applyBorder="1"/>
    <xf numFmtId="44" fontId="8" fillId="4" borderId="23" xfId="1" applyFont="1" applyFill="1" applyBorder="1"/>
    <xf numFmtId="0" fontId="8" fillId="4" borderId="0" xfId="0" applyFont="1" applyFill="1" applyBorder="1"/>
    <xf numFmtId="44" fontId="8" fillId="4" borderId="0" xfId="0" applyNumberFormat="1" applyFont="1" applyFill="1" applyBorder="1"/>
    <xf numFmtId="0" fontId="9" fillId="4" borderId="0" xfId="0" applyFont="1" applyFill="1" applyBorder="1"/>
    <xf numFmtId="44" fontId="8" fillId="4" borderId="24" xfId="0" applyNumberFormat="1" applyFont="1" applyFill="1" applyBorder="1"/>
    <xf numFmtId="0" fontId="7" fillId="4" borderId="15" xfId="0" applyFont="1" applyFill="1" applyBorder="1"/>
    <xf numFmtId="0" fontId="7" fillId="4" borderId="21" xfId="0" applyFont="1" applyFill="1" applyBorder="1"/>
    <xf numFmtId="0" fontId="7" fillId="0" borderId="0" xfId="0" applyFont="1"/>
    <xf numFmtId="0" fontId="11" fillId="8" borderId="25" xfId="0" applyFont="1" applyFill="1" applyBorder="1" applyAlignment="1">
      <alignment horizontal="center"/>
    </xf>
    <xf numFmtId="0" fontId="8" fillId="7" borderId="26" xfId="0" applyFont="1" applyFill="1" applyBorder="1"/>
    <xf numFmtId="0" fontId="8" fillId="7" borderId="27" xfId="0" applyFont="1" applyFill="1" applyBorder="1"/>
    <xf numFmtId="0" fontId="8" fillId="7" borderId="28" xfId="0" applyFont="1" applyFill="1" applyBorder="1"/>
    <xf numFmtId="0" fontId="6" fillId="0" borderId="4" xfId="4" applyFont="1" applyFill="1" applyBorder="1"/>
    <xf numFmtId="0" fontId="6" fillId="0" borderId="4" xfId="4" applyFont="1" applyFill="1" applyBorder="1" applyAlignment="1">
      <alignment horizontal="center"/>
    </xf>
    <xf numFmtId="0" fontId="8" fillId="9" borderId="22" xfId="0" applyFont="1" applyFill="1" applyBorder="1" applyAlignment="1">
      <alignment horizontal="center"/>
    </xf>
  </cellXfs>
  <cellStyles count="5">
    <cellStyle name="Currency" xfId="1" builtinId="4"/>
    <cellStyle name="Heading" xfId="2" xr:uid="{D44E6261-8A24-4386-BAA7-FFF3165F9DE6}"/>
    <cellStyle name="Moneda_Relacion de personal (base)" xfId="3" xr:uid="{E67D4B73-8E27-4BE6-9357-99DE6BD4E8C5}"/>
    <cellStyle name="Normal" xfId="0" builtinId="0"/>
    <cellStyle name="Normal_Relacion de personal (base)" xfId="4" xr:uid="{16282BE6-AFEA-42AC-8EB8-53E2A7A85C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44450</xdr:rowOff>
    </xdr:from>
    <xdr:to>
      <xdr:col>1</xdr:col>
      <xdr:colOff>1084262</xdr:colOff>
      <xdr:row>3</xdr:row>
      <xdr:rowOff>91134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01C77-ED2D-4916-B3C4-A79677647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" y="44450"/>
          <a:ext cx="1071562" cy="599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7</xdr:row>
      <xdr:rowOff>55563</xdr:rowOff>
    </xdr:from>
    <xdr:to>
      <xdr:col>2</xdr:col>
      <xdr:colOff>1063625</xdr:colOff>
      <xdr:row>10</xdr:row>
      <xdr:rowOff>162572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8B18A5-AC0D-44CA-A8E1-FB10DB2EF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9563" y="254001"/>
          <a:ext cx="1071562" cy="599134"/>
        </a:xfrm>
        <a:prstGeom prst="rect">
          <a:avLst/>
        </a:prstGeom>
      </xdr:spPr>
    </xdr:pic>
    <xdr:clientData/>
  </xdr:twoCellAnchor>
  <xdr:twoCellAnchor>
    <xdr:from>
      <xdr:col>9</xdr:col>
      <xdr:colOff>134938</xdr:colOff>
      <xdr:row>8</xdr:row>
      <xdr:rowOff>31750</xdr:rowOff>
    </xdr:from>
    <xdr:to>
      <xdr:col>12</xdr:col>
      <xdr:colOff>333375</xdr:colOff>
      <xdr:row>12</xdr:row>
      <xdr:rowOff>39687</xdr:rowOff>
    </xdr:to>
    <xdr:sp macro="[0]!guardar_pdf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BFD9211-E5E5-4DFF-B52F-5BD8914D1908}"/>
            </a:ext>
          </a:extLst>
        </xdr:cNvPr>
        <xdr:cNvSpPr/>
      </xdr:nvSpPr>
      <xdr:spPr>
        <a:xfrm>
          <a:off x="7199313" y="1476375"/>
          <a:ext cx="2032000" cy="785812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GUARDAR</a:t>
          </a:r>
          <a:r>
            <a:rPr lang="en-US" sz="2000" b="1" baseline="0"/>
            <a:t> PDF</a:t>
          </a:r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68035</xdr:colOff>
      <xdr:row>0</xdr:row>
      <xdr:rowOff>190500</xdr:rowOff>
    </xdr:from>
    <xdr:to>
      <xdr:col>1</xdr:col>
      <xdr:colOff>1369785</xdr:colOff>
      <xdr:row>10</xdr:row>
      <xdr:rowOff>189738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ABAD4A-CFC3-4F2D-8BAA-5DB07C891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" y="190500"/>
          <a:ext cx="1909536" cy="192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13A9-03EE-4DBF-A42A-71FE30600076}">
  <sheetPr codeName="Sheet3"/>
  <dimension ref="B4:F10"/>
  <sheetViews>
    <sheetView showGridLines="0" zoomScale="160" zoomScaleNormal="160" workbookViewId="0">
      <selection activeCell="E9" sqref="E9"/>
    </sheetView>
  </sheetViews>
  <sheetFormatPr defaultRowHeight="14.5"/>
  <cols>
    <col min="1" max="1" width="1.36328125" customWidth="1"/>
    <col min="2" max="2" width="25" customWidth="1"/>
    <col min="3" max="3" width="12.08984375" bestFit="1" customWidth="1"/>
    <col min="5" max="5" width="22.1796875" customWidth="1"/>
  </cols>
  <sheetData>
    <row r="4" spans="2:6" ht="15" thickBot="1"/>
    <row r="5" spans="2:6">
      <c r="B5" s="41" t="s">
        <v>38</v>
      </c>
      <c r="C5" s="42">
        <v>180000</v>
      </c>
      <c r="E5" s="47" t="s">
        <v>39</v>
      </c>
      <c r="F5" s="48">
        <v>0.04</v>
      </c>
    </row>
    <row r="6" spans="2:6" ht="15" thickBot="1">
      <c r="B6" s="43" t="s">
        <v>37</v>
      </c>
      <c r="C6" s="44">
        <v>150000</v>
      </c>
      <c r="E6" s="49" t="s">
        <v>40</v>
      </c>
      <c r="F6" s="50">
        <v>0.04</v>
      </c>
    </row>
    <row r="8" spans="2:6" ht="15" thickBot="1"/>
    <row r="9" spans="2:6">
      <c r="B9" s="41" t="s">
        <v>48</v>
      </c>
      <c r="C9" s="45">
        <v>360</v>
      </c>
    </row>
    <row r="10" spans="2:6" ht="15" thickBot="1">
      <c r="B10" s="43" t="s">
        <v>49</v>
      </c>
      <c r="C10" s="46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BDC9-83D6-4B15-9726-3750663B6F8B}">
  <sheetPr codeName="Sheet1"/>
  <dimension ref="A1:Y12"/>
  <sheetViews>
    <sheetView showGridLines="0" workbookViewId="0">
      <pane ySplit="1" topLeftCell="A2" activePane="bottomLeft" state="frozen"/>
      <selection pane="bottomLeft" activeCell="M15" sqref="M15"/>
    </sheetView>
  </sheetViews>
  <sheetFormatPr defaultRowHeight="14.5"/>
  <cols>
    <col min="1" max="1" width="14.08984375" bestFit="1" customWidth="1"/>
    <col min="2" max="2" width="10" bestFit="1" customWidth="1"/>
    <col min="3" max="3" width="10.453125" bestFit="1" customWidth="1"/>
    <col min="4" max="4" width="26.08984375" customWidth="1"/>
    <col min="5" max="5" width="19.81640625" customWidth="1"/>
    <col min="6" max="6" width="15.6328125" bestFit="1" customWidth="1"/>
    <col min="7" max="7" width="19.6328125" bestFit="1" customWidth="1"/>
    <col min="8" max="8" width="16.26953125" style="25" bestFit="1" customWidth="1"/>
    <col min="9" max="9" width="16.26953125" style="25" customWidth="1"/>
    <col min="10" max="10" width="25.54296875" style="25" bestFit="1" customWidth="1"/>
    <col min="11" max="13" width="25.54296875" style="25" customWidth="1"/>
    <col min="14" max="14" width="19.6328125" bestFit="1" customWidth="1"/>
    <col min="15" max="15" width="18.1796875" bestFit="1" customWidth="1"/>
    <col min="16" max="16" width="21.90625" customWidth="1"/>
    <col min="17" max="17" width="18.08984375" style="20" customWidth="1"/>
    <col min="18" max="18" width="19.1796875" style="25" customWidth="1"/>
    <col min="19" max="19" width="21.36328125" style="25" customWidth="1"/>
    <col min="20" max="20" width="22.1796875" style="25" customWidth="1"/>
    <col min="21" max="21" width="22.26953125" customWidth="1"/>
    <col min="22" max="22" width="24.7265625" style="26" customWidth="1"/>
    <col min="23" max="23" width="21.453125" bestFit="1" customWidth="1"/>
    <col min="24" max="24" width="25.36328125" bestFit="1" customWidth="1"/>
    <col min="25" max="25" width="32.81640625" customWidth="1"/>
  </cols>
  <sheetData>
    <row r="1" spans="1:25" ht="16" thickBot="1">
      <c r="A1" s="1" t="s">
        <v>0</v>
      </c>
      <c r="B1" s="1" t="s">
        <v>1</v>
      </c>
      <c r="C1" s="1" t="s">
        <v>2</v>
      </c>
      <c r="D1" s="1" t="s">
        <v>55</v>
      </c>
      <c r="E1" s="1" t="s">
        <v>59</v>
      </c>
      <c r="F1" s="1" t="s">
        <v>3</v>
      </c>
      <c r="G1" s="1" t="s">
        <v>4</v>
      </c>
      <c r="H1" s="21" t="s">
        <v>35</v>
      </c>
      <c r="I1" s="21" t="s">
        <v>36</v>
      </c>
      <c r="J1" s="21" t="s">
        <v>37</v>
      </c>
      <c r="K1" s="21" t="s">
        <v>38</v>
      </c>
      <c r="L1" s="21" t="s">
        <v>39</v>
      </c>
      <c r="M1" s="21" t="s">
        <v>40</v>
      </c>
      <c r="N1" s="2" t="s">
        <v>6</v>
      </c>
      <c r="O1" s="2" t="s">
        <v>5</v>
      </c>
      <c r="P1" s="2" t="s">
        <v>33</v>
      </c>
      <c r="Q1" s="19" t="s">
        <v>34</v>
      </c>
      <c r="R1" s="28" t="s">
        <v>41</v>
      </c>
      <c r="S1" s="28" t="s">
        <v>42</v>
      </c>
      <c r="T1" s="28" t="s">
        <v>43</v>
      </c>
      <c r="U1" s="18" t="s">
        <v>47</v>
      </c>
      <c r="V1" s="18" t="s">
        <v>50</v>
      </c>
      <c r="W1" s="18" t="s">
        <v>51</v>
      </c>
      <c r="X1" s="18" t="s">
        <v>52</v>
      </c>
      <c r="Y1" s="18" t="s">
        <v>53</v>
      </c>
    </row>
    <row r="2" spans="1:25" ht="16" thickBot="1">
      <c r="A2" s="3">
        <v>1</v>
      </c>
      <c r="B2" s="4" t="s">
        <v>7</v>
      </c>
      <c r="C2" s="5" t="s">
        <v>8</v>
      </c>
      <c r="D2" s="94" t="str">
        <f>+C2&amp;" "&amp;B2</f>
        <v>Jeronimo García</v>
      </c>
      <c r="E2" s="95">
        <v>7867285</v>
      </c>
      <c r="F2" s="5" t="s">
        <v>9</v>
      </c>
      <c r="G2" s="5" t="s">
        <v>10</v>
      </c>
      <c r="H2" s="22">
        <v>3200000</v>
      </c>
      <c r="I2" s="29">
        <f>+H2/30</f>
        <v>106666.66666666667</v>
      </c>
      <c r="J2" s="29">
        <f>+'Ben y Apor'!$C$6</f>
        <v>150000</v>
      </c>
      <c r="K2" s="29">
        <f>+'Ben y Apor'!$C$5</f>
        <v>180000</v>
      </c>
      <c r="L2" s="29">
        <f>+H2*'Ben y Apor'!$F$5</f>
        <v>128000</v>
      </c>
      <c r="M2" s="29">
        <f>+H2*'Ben y Apor'!$F$6</f>
        <v>128000</v>
      </c>
      <c r="N2" s="7">
        <v>18899</v>
      </c>
      <c r="O2" s="6">
        <v>39543</v>
      </c>
      <c r="P2" s="30">
        <f ca="1">+TODAY()</f>
        <v>44294</v>
      </c>
      <c r="Q2" s="31">
        <f ca="1">+P2-O2</f>
        <v>4751</v>
      </c>
      <c r="R2" s="32">
        <f>+H2+J2+K2</f>
        <v>3530000</v>
      </c>
      <c r="S2" s="32">
        <f>-L2-M2</f>
        <v>-256000</v>
      </c>
      <c r="T2" s="32">
        <f>+R2+S2</f>
        <v>3274000</v>
      </c>
      <c r="U2" s="33">
        <f ca="1">+(Q2/'Ben y Apor'!$C$9)*'Ben y Apor'!$C$10</f>
        <v>197.95833333333334</v>
      </c>
      <c r="V2" s="39">
        <v>190</v>
      </c>
      <c r="W2" s="33">
        <f ca="1">+U2-V2</f>
        <v>7.9583333333333428</v>
      </c>
      <c r="X2" s="40">
        <f ca="1">+W2/2</f>
        <v>3.9791666666666714</v>
      </c>
      <c r="Y2" s="29">
        <f ca="1">+X2*I2</f>
        <v>424444.44444444496</v>
      </c>
    </row>
    <row r="3" spans="1:25" ht="16" thickBot="1">
      <c r="A3" s="8">
        <v>2</v>
      </c>
      <c r="B3" s="9" t="s">
        <v>11</v>
      </c>
      <c r="C3" s="10" t="s">
        <v>12</v>
      </c>
      <c r="D3" s="94" t="str">
        <f t="shared" ref="D3:D11" si="0">+C3&amp;" "&amp;B3</f>
        <v>Estefania Giménez</v>
      </c>
      <c r="E3" s="95">
        <v>6033729</v>
      </c>
      <c r="F3" s="10" t="s">
        <v>44</v>
      </c>
      <c r="G3" s="10" t="s">
        <v>13</v>
      </c>
      <c r="H3" s="23">
        <v>3200000</v>
      </c>
      <c r="I3" s="29">
        <f t="shared" ref="I3:I11" si="1">+H3/30</f>
        <v>106666.66666666667</v>
      </c>
      <c r="J3" s="29">
        <f>+'Ben y Apor'!$C$6</f>
        <v>150000</v>
      </c>
      <c r="K3" s="29">
        <f>+'Ben y Apor'!$C$5</f>
        <v>180000</v>
      </c>
      <c r="L3" s="29">
        <f>+H3*'Ben y Apor'!$F$5</f>
        <v>128000</v>
      </c>
      <c r="M3" s="29">
        <f>+H3*'Ben y Apor'!$F$6</f>
        <v>128000</v>
      </c>
      <c r="N3" s="12">
        <v>23393</v>
      </c>
      <c r="O3" s="11">
        <v>42088</v>
      </c>
      <c r="P3" s="30">
        <f t="shared" ref="P3:P11" ca="1" si="2">+TODAY()</f>
        <v>44294</v>
      </c>
      <c r="Q3" s="34">
        <f t="shared" ref="Q3:Q11" ca="1" si="3">+P3-O3</f>
        <v>2206</v>
      </c>
      <c r="R3" s="35">
        <f t="shared" ref="R3:R11" si="4">+H3+J3+K3</f>
        <v>3530000</v>
      </c>
      <c r="S3" s="35">
        <f t="shared" ref="S3:S11" si="5">-L3-M3</f>
        <v>-256000</v>
      </c>
      <c r="T3" s="35">
        <f t="shared" ref="T3:T11" si="6">+R3+S3</f>
        <v>3274000</v>
      </c>
      <c r="U3" s="33">
        <f ca="1">+(Q3/'Ben y Apor'!$C$9)*'Ben y Apor'!$C$10</f>
        <v>91.916666666666671</v>
      </c>
      <c r="V3" s="39">
        <v>87</v>
      </c>
      <c r="W3" s="33">
        <f t="shared" ref="W3:W11" ca="1" si="7">+U3-V3</f>
        <v>4.9166666666666714</v>
      </c>
      <c r="X3" s="40">
        <f t="shared" ref="X3:X11" ca="1" si="8">+W3/2</f>
        <v>2.4583333333333357</v>
      </c>
      <c r="Y3" s="29">
        <f t="shared" ref="Y3:Y11" ca="1" si="9">+X3*I3</f>
        <v>262222.22222222248</v>
      </c>
    </row>
    <row r="4" spans="1:25" ht="16" thickBot="1">
      <c r="A4" s="8">
        <v>3</v>
      </c>
      <c r="B4" s="9" t="s">
        <v>14</v>
      </c>
      <c r="C4" s="10" t="s">
        <v>15</v>
      </c>
      <c r="D4" s="94" t="str">
        <f t="shared" si="0"/>
        <v>Guillermo Pérez</v>
      </c>
      <c r="E4" s="95">
        <v>6592627</v>
      </c>
      <c r="F4" s="10" t="s">
        <v>45</v>
      </c>
      <c r="G4" s="10" t="s">
        <v>13</v>
      </c>
      <c r="H4" s="23">
        <v>4500000</v>
      </c>
      <c r="I4" s="29">
        <f t="shared" si="1"/>
        <v>150000</v>
      </c>
      <c r="J4" s="29">
        <f>+'Ben y Apor'!$C$6</f>
        <v>150000</v>
      </c>
      <c r="K4" s="29">
        <f>+'Ben y Apor'!$C$5</f>
        <v>180000</v>
      </c>
      <c r="L4" s="29">
        <f>+H4*'Ben y Apor'!$F$5</f>
        <v>180000</v>
      </c>
      <c r="M4" s="29">
        <f>+H4*'Ben y Apor'!$F$6</f>
        <v>180000</v>
      </c>
      <c r="N4" s="12">
        <v>23188</v>
      </c>
      <c r="O4" s="11">
        <v>43165</v>
      </c>
      <c r="P4" s="30">
        <f t="shared" ca="1" si="2"/>
        <v>44294</v>
      </c>
      <c r="Q4" s="34">
        <f t="shared" ca="1" si="3"/>
        <v>1129</v>
      </c>
      <c r="R4" s="35">
        <f t="shared" si="4"/>
        <v>4830000</v>
      </c>
      <c r="S4" s="35">
        <f t="shared" si="5"/>
        <v>-360000</v>
      </c>
      <c r="T4" s="35">
        <f t="shared" si="6"/>
        <v>4470000</v>
      </c>
      <c r="U4" s="33">
        <f ca="1">+(Q4/'Ben y Apor'!$C$9)*'Ben y Apor'!$C$10</f>
        <v>47.041666666666664</v>
      </c>
      <c r="V4" s="39">
        <v>47</v>
      </c>
      <c r="W4" s="33">
        <f t="shared" ca="1" si="7"/>
        <v>4.1666666666664298E-2</v>
      </c>
      <c r="X4" s="40">
        <f t="shared" ca="1" si="8"/>
        <v>2.0833333333332149E-2</v>
      </c>
      <c r="Y4" s="29">
        <f t="shared" ca="1" si="9"/>
        <v>3124.9999999998222</v>
      </c>
    </row>
    <row r="5" spans="1:25" ht="16" thickBot="1">
      <c r="A5" s="8">
        <v>4</v>
      </c>
      <c r="B5" s="9" t="s">
        <v>16</v>
      </c>
      <c r="C5" s="10" t="s">
        <v>17</v>
      </c>
      <c r="D5" s="94" t="str">
        <f t="shared" si="0"/>
        <v>Eliana Soriano</v>
      </c>
      <c r="E5" s="95">
        <v>8584771</v>
      </c>
      <c r="F5" s="10" t="s">
        <v>9</v>
      </c>
      <c r="G5" s="10" t="s">
        <v>13</v>
      </c>
      <c r="H5" s="23">
        <v>3200000</v>
      </c>
      <c r="I5" s="29">
        <f t="shared" si="1"/>
        <v>106666.66666666667</v>
      </c>
      <c r="J5" s="29">
        <f>+'Ben y Apor'!$C$6</f>
        <v>150000</v>
      </c>
      <c r="K5" s="29">
        <f>+'Ben y Apor'!$C$5</f>
        <v>180000</v>
      </c>
      <c r="L5" s="29">
        <f>+H5*'Ben y Apor'!$F$5</f>
        <v>128000</v>
      </c>
      <c r="M5" s="29">
        <f>+H5*'Ben y Apor'!$F$6</f>
        <v>128000</v>
      </c>
      <c r="N5" s="12">
        <v>23514</v>
      </c>
      <c r="O5" s="11">
        <v>43875</v>
      </c>
      <c r="P5" s="30">
        <f t="shared" ca="1" si="2"/>
        <v>44294</v>
      </c>
      <c r="Q5" s="34">
        <f t="shared" ca="1" si="3"/>
        <v>419</v>
      </c>
      <c r="R5" s="35">
        <f t="shared" si="4"/>
        <v>3530000</v>
      </c>
      <c r="S5" s="35">
        <f t="shared" si="5"/>
        <v>-256000</v>
      </c>
      <c r="T5" s="35">
        <f t="shared" si="6"/>
        <v>3274000</v>
      </c>
      <c r="U5" s="33">
        <f ca="1">+(Q5/'Ben y Apor'!$C$9)*'Ben y Apor'!$C$10</f>
        <v>17.458333333333336</v>
      </c>
      <c r="V5" s="39">
        <v>15</v>
      </c>
      <c r="W5" s="33">
        <f t="shared" ca="1" si="7"/>
        <v>2.4583333333333357</v>
      </c>
      <c r="X5" s="40">
        <f t="shared" ca="1" si="8"/>
        <v>1.2291666666666679</v>
      </c>
      <c r="Y5" s="29">
        <f t="shared" ca="1" si="9"/>
        <v>131111.11111111124</v>
      </c>
    </row>
    <row r="6" spans="1:25" ht="16" thickBot="1">
      <c r="A6" s="8">
        <v>5</v>
      </c>
      <c r="B6" s="9" t="s">
        <v>18</v>
      </c>
      <c r="C6" s="10" t="s">
        <v>19</v>
      </c>
      <c r="D6" s="94" t="str">
        <f t="shared" si="0"/>
        <v>Jose Gutierrez</v>
      </c>
      <c r="E6" s="95">
        <v>7665051</v>
      </c>
      <c r="F6" s="10" t="s">
        <v>9</v>
      </c>
      <c r="G6" s="10" t="s">
        <v>13</v>
      </c>
      <c r="H6" s="23">
        <v>3200000</v>
      </c>
      <c r="I6" s="29">
        <f t="shared" si="1"/>
        <v>106666.66666666667</v>
      </c>
      <c r="J6" s="29">
        <f>+'Ben y Apor'!$C$6</f>
        <v>150000</v>
      </c>
      <c r="K6" s="29">
        <f>+'Ben y Apor'!$C$5</f>
        <v>180000</v>
      </c>
      <c r="L6" s="29">
        <f>+H6*'Ben y Apor'!$F$5</f>
        <v>128000</v>
      </c>
      <c r="M6" s="29">
        <f>+H6*'Ben y Apor'!$F$6</f>
        <v>128000</v>
      </c>
      <c r="N6" s="12">
        <v>23294</v>
      </c>
      <c r="O6" s="11">
        <v>41614</v>
      </c>
      <c r="P6" s="30">
        <f t="shared" ca="1" si="2"/>
        <v>44294</v>
      </c>
      <c r="Q6" s="34">
        <f t="shared" ca="1" si="3"/>
        <v>2680</v>
      </c>
      <c r="R6" s="35">
        <f t="shared" si="4"/>
        <v>3530000</v>
      </c>
      <c r="S6" s="35">
        <f t="shared" si="5"/>
        <v>-256000</v>
      </c>
      <c r="T6" s="35">
        <f t="shared" si="6"/>
        <v>3274000</v>
      </c>
      <c r="U6" s="33">
        <f ca="1">+(Q6/'Ben y Apor'!$C$9)*'Ben y Apor'!$C$10</f>
        <v>111.66666666666667</v>
      </c>
      <c r="V6" s="39">
        <v>110</v>
      </c>
      <c r="W6" s="33">
        <f t="shared" ca="1" si="7"/>
        <v>1.6666666666666714</v>
      </c>
      <c r="X6" s="40">
        <f t="shared" ca="1" si="8"/>
        <v>0.8333333333333357</v>
      </c>
      <c r="Y6" s="29">
        <f t="shared" ca="1" si="9"/>
        <v>88888.888888889152</v>
      </c>
    </row>
    <row r="7" spans="1:25" ht="16" thickBot="1">
      <c r="A7" s="8">
        <v>6</v>
      </c>
      <c r="B7" s="9" t="s">
        <v>20</v>
      </c>
      <c r="C7" s="10" t="s">
        <v>21</v>
      </c>
      <c r="D7" s="94" t="str">
        <f t="shared" si="0"/>
        <v>Marcela Reina</v>
      </c>
      <c r="E7" s="95">
        <v>1868418</v>
      </c>
      <c r="F7" s="10" t="s">
        <v>44</v>
      </c>
      <c r="G7" s="10" t="s">
        <v>22</v>
      </c>
      <c r="H7" s="23">
        <v>1500000</v>
      </c>
      <c r="I7" s="29">
        <f t="shared" si="1"/>
        <v>50000</v>
      </c>
      <c r="J7" s="29">
        <f>+'Ben y Apor'!$C$6</f>
        <v>150000</v>
      </c>
      <c r="K7" s="29">
        <f>+'Ben y Apor'!$C$5</f>
        <v>180000</v>
      </c>
      <c r="L7" s="29">
        <f>+H7*'Ben y Apor'!$F$5</f>
        <v>60000</v>
      </c>
      <c r="M7" s="29">
        <f>+H7*'Ben y Apor'!$F$6</f>
        <v>60000</v>
      </c>
      <c r="N7" s="12">
        <v>22067</v>
      </c>
      <c r="O7" s="11">
        <v>41827</v>
      </c>
      <c r="P7" s="30">
        <f t="shared" ca="1" si="2"/>
        <v>44294</v>
      </c>
      <c r="Q7" s="34">
        <f t="shared" ca="1" si="3"/>
        <v>2467</v>
      </c>
      <c r="R7" s="35">
        <f t="shared" si="4"/>
        <v>1830000</v>
      </c>
      <c r="S7" s="35">
        <f t="shared" si="5"/>
        <v>-120000</v>
      </c>
      <c r="T7" s="35">
        <f t="shared" si="6"/>
        <v>1710000</v>
      </c>
      <c r="U7" s="33">
        <f ca="1">+(Q7/'Ben y Apor'!$C$9)*'Ben y Apor'!$C$10</f>
        <v>102.79166666666667</v>
      </c>
      <c r="V7" s="39">
        <v>100</v>
      </c>
      <c r="W7" s="33">
        <f t="shared" ca="1" si="7"/>
        <v>2.7916666666666714</v>
      </c>
      <c r="X7" s="40">
        <f t="shared" ca="1" si="8"/>
        <v>1.3958333333333357</v>
      </c>
      <c r="Y7" s="29">
        <f t="shared" ca="1" si="9"/>
        <v>69791.666666666788</v>
      </c>
    </row>
    <row r="8" spans="1:25" ht="16" thickBot="1">
      <c r="A8" s="8">
        <v>7</v>
      </c>
      <c r="B8" s="9" t="s">
        <v>23</v>
      </c>
      <c r="C8" s="10" t="s">
        <v>24</v>
      </c>
      <c r="D8" s="94" t="str">
        <f t="shared" si="0"/>
        <v>Daniela Ramirez</v>
      </c>
      <c r="E8" s="95">
        <v>4655005</v>
      </c>
      <c r="F8" s="10" t="s">
        <v>45</v>
      </c>
      <c r="G8" s="10" t="s">
        <v>13</v>
      </c>
      <c r="H8" s="23">
        <v>3200000</v>
      </c>
      <c r="I8" s="29">
        <f t="shared" si="1"/>
        <v>106666.66666666667</v>
      </c>
      <c r="J8" s="29">
        <f>+'Ben y Apor'!$C$6</f>
        <v>150000</v>
      </c>
      <c r="K8" s="29">
        <f>+'Ben y Apor'!$C$5</f>
        <v>180000</v>
      </c>
      <c r="L8" s="29">
        <f>+H8*'Ben y Apor'!$F$5</f>
        <v>128000</v>
      </c>
      <c r="M8" s="29">
        <f>+H8*'Ben y Apor'!$F$6</f>
        <v>128000</v>
      </c>
      <c r="N8" s="12">
        <v>23298</v>
      </c>
      <c r="O8" s="11">
        <v>37048</v>
      </c>
      <c r="P8" s="30">
        <f t="shared" ca="1" si="2"/>
        <v>44294</v>
      </c>
      <c r="Q8" s="34">
        <f t="shared" ca="1" si="3"/>
        <v>7246</v>
      </c>
      <c r="R8" s="35">
        <f t="shared" si="4"/>
        <v>3530000</v>
      </c>
      <c r="S8" s="35">
        <f t="shared" si="5"/>
        <v>-256000</v>
      </c>
      <c r="T8" s="35">
        <f t="shared" si="6"/>
        <v>3274000</v>
      </c>
      <c r="U8" s="33">
        <f ca="1">+(Q8/'Ben y Apor'!$C$9)*'Ben y Apor'!$C$10</f>
        <v>301.91666666666663</v>
      </c>
      <c r="V8" s="39">
        <v>301</v>
      </c>
      <c r="W8" s="33">
        <f t="shared" ca="1" si="7"/>
        <v>0.91666666666662877</v>
      </c>
      <c r="X8" s="40">
        <f t="shared" ca="1" si="8"/>
        <v>0.45833333333331439</v>
      </c>
      <c r="Y8" s="29">
        <f t="shared" ca="1" si="9"/>
        <v>48888.888888886868</v>
      </c>
    </row>
    <row r="9" spans="1:25" ht="16" thickBot="1">
      <c r="A9" s="13">
        <v>8</v>
      </c>
      <c r="B9" s="15" t="s">
        <v>26</v>
      </c>
      <c r="C9" s="14" t="s">
        <v>25</v>
      </c>
      <c r="D9" s="94" t="str">
        <f t="shared" si="0"/>
        <v>Karla Solano</v>
      </c>
      <c r="E9" s="95">
        <v>8545484</v>
      </c>
      <c r="F9" s="10" t="s">
        <v>45</v>
      </c>
      <c r="G9" s="14" t="s">
        <v>27</v>
      </c>
      <c r="H9" s="24">
        <v>4000000</v>
      </c>
      <c r="I9" s="29">
        <f t="shared" si="1"/>
        <v>133333.33333333334</v>
      </c>
      <c r="J9" s="29">
        <f>+'Ben y Apor'!$C$6</f>
        <v>150000</v>
      </c>
      <c r="K9" s="29">
        <f>+'Ben y Apor'!$C$5</f>
        <v>180000</v>
      </c>
      <c r="L9" s="29">
        <f>+H9*'Ben y Apor'!$F$5</f>
        <v>160000</v>
      </c>
      <c r="M9" s="29">
        <f>+H9*'Ben y Apor'!$F$6</f>
        <v>160000</v>
      </c>
      <c r="N9" s="16">
        <v>20039</v>
      </c>
      <c r="O9" s="17">
        <v>36699</v>
      </c>
      <c r="P9" s="30">
        <f t="shared" ca="1" si="2"/>
        <v>44294</v>
      </c>
      <c r="Q9" s="36">
        <f t="shared" ca="1" si="3"/>
        <v>7595</v>
      </c>
      <c r="R9" s="35">
        <f t="shared" si="4"/>
        <v>4330000</v>
      </c>
      <c r="S9" s="37">
        <f t="shared" si="5"/>
        <v>-320000</v>
      </c>
      <c r="T9" s="37">
        <f t="shared" si="6"/>
        <v>4010000</v>
      </c>
      <c r="U9" s="33">
        <f ca="1">+(Q9/'Ben y Apor'!$C$9)*'Ben y Apor'!$C$10</f>
        <v>316.45833333333331</v>
      </c>
      <c r="V9" s="39">
        <v>300</v>
      </c>
      <c r="W9" s="33">
        <f t="shared" ca="1" si="7"/>
        <v>16.458333333333314</v>
      </c>
      <c r="X9" s="40">
        <f t="shared" ca="1" si="8"/>
        <v>8.2291666666666572</v>
      </c>
      <c r="Y9" s="29">
        <f t="shared" ca="1" si="9"/>
        <v>1097222.2222222211</v>
      </c>
    </row>
    <row r="10" spans="1:25" ht="16" thickBot="1">
      <c r="A10" s="13">
        <v>9</v>
      </c>
      <c r="B10" s="15" t="s">
        <v>28</v>
      </c>
      <c r="C10" s="14" t="s">
        <v>29</v>
      </c>
      <c r="D10" s="94" t="str">
        <f t="shared" si="0"/>
        <v>Valentina Diaz</v>
      </c>
      <c r="E10" s="95">
        <v>4928620</v>
      </c>
      <c r="F10" s="10" t="s">
        <v>46</v>
      </c>
      <c r="G10" s="14" t="s">
        <v>30</v>
      </c>
      <c r="H10" s="24">
        <v>5500000</v>
      </c>
      <c r="I10" s="29">
        <f t="shared" si="1"/>
        <v>183333.33333333334</v>
      </c>
      <c r="J10" s="29">
        <f>+'Ben y Apor'!$C$6</f>
        <v>150000</v>
      </c>
      <c r="K10" s="29">
        <f>+'Ben y Apor'!$C$5</f>
        <v>180000</v>
      </c>
      <c r="L10" s="29">
        <f>+H10*'Ben y Apor'!$F$5</f>
        <v>220000</v>
      </c>
      <c r="M10" s="29">
        <f>+H10*'Ben y Apor'!$F$6</f>
        <v>220000</v>
      </c>
      <c r="N10" s="16">
        <v>32242</v>
      </c>
      <c r="O10" s="17">
        <v>42188</v>
      </c>
      <c r="P10" s="30">
        <f t="shared" ca="1" si="2"/>
        <v>44294</v>
      </c>
      <c r="Q10" s="36">
        <f t="shared" ca="1" si="3"/>
        <v>2106</v>
      </c>
      <c r="R10" s="35">
        <f t="shared" si="4"/>
        <v>5830000</v>
      </c>
      <c r="S10" s="37">
        <f t="shared" si="5"/>
        <v>-440000</v>
      </c>
      <c r="T10" s="37">
        <f t="shared" si="6"/>
        <v>5390000</v>
      </c>
      <c r="U10" s="33">
        <f ca="1">+(Q10/'Ben y Apor'!$C$9)*'Ben y Apor'!$C$10</f>
        <v>87.75</v>
      </c>
      <c r="V10" s="39">
        <v>81</v>
      </c>
      <c r="W10" s="33">
        <f t="shared" ca="1" si="7"/>
        <v>6.75</v>
      </c>
      <c r="X10" s="40">
        <f t="shared" ca="1" si="8"/>
        <v>3.375</v>
      </c>
      <c r="Y10" s="29">
        <f t="shared" ca="1" si="9"/>
        <v>618750</v>
      </c>
    </row>
    <row r="11" spans="1:25" ht="15.5">
      <c r="A11" s="13">
        <v>10</v>
      </c>
      <c r="B11" s="15" t="s">
        <v>31</v>
      </c>
      <c r="C11" s="14" t="s">
        <v>24</v>
      </c>
      <c r="D11" s="94" t="str">
        <f t="shared" si="0"/>
        <v>Daniela Mesa</v>
      </c>
      <c r="E11" s="95">
        <v>2993375</v>
      </c>
      <c r="F11" s="10" t="s">
        <v>46</v>
      </c>
      <c r="G11" s="5" t="s">
        <v>32</v>
      </c>
      <c r="H11" s="22">
        <v>3500000</v>
      </c>
      <c r="I11" s="29">
        <f t="shared" si="1"/>
        <v>116666.66666666667</v>
      </c>
      <c r="J11" s="29">
        <f>+'Ben y Apor'!$C$6</f>
        <v>150000</v>
      </c>
      <c r="K11" s="29">
        <f>+'Ben y Apor'!$C$5</f>
        <v>180000</v>
      </c>
      <c r="L11" s="29">
        <f>+H11*'Ben y Apor'!$F$5</f>
        <v>140000</v>
      </c>
      <c r="M11" s="29">
        <f>+H11*'Ben y Apor'!$F$6</f>
        <v>140000</v>
      </c>
      <c r="N11" s="16">
        <v>27835</v>
      </c>
      <c r="O11" s="17">
        <v>41130</v>
      </c>
      <c r="P11" s="30">
        <f t="shared" ca="1" si="2"/>
        <v>44294</v>
      </c>
      <c r="Q11" s="36">
        <f t="shared" ca="1" si="3"/>
        <v>3164</v>
      </c>
      <c r="R11" s="35">
        <f t="shared" si="4"/>
        <v>3830000</v>
      </c>
      <c r="S11" s="32">
        <f t="shared" si="5"/>
        <v>-280000</v>
      </c>
      <c r="T11" s="32">
        <f t="shared" si="6"/>
        <v>3550000</v>
      </c>
      <c r="U11" s="33">
        <f ca="1">+(Q11/'Ben y Apor'!$C$9)*'Ben y Apor'!$C$10</f>
        <v>131.83333333333334</v>
      </c>
      <c r="V11" s="39">
        <v>127</v>
      </c>
      <c r="W11" s="33">
        <f t="shared" ca="1" si="7"/>
        <v>4.8333333333333428</v>
      </c>
      <c r="X11" s="40">
        <f t="shared" ca="1" si="8"/>
        <v>2.4166666666666714</v>
      </c>
      <c r="Y11" s="29">
        <f t="shared" ca="1" si="9"/>
        <v>281944.44444444502</v>
      </c>
    </row>
    <row r="12" spans="1:25" ht="15.5">
      <c r="N12" s="16"/>
      <c r="O12" s="17"/>
      <c r="P12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80EA-1192-451E-979D-24B3D59CAC6D}">
  <sheetPr codeName="Sheet2"/>
  <dimension ref="B7:F31"/>
  <sheetViews>
    <sheetView showGridLines="0" tabSelected="1" topLeftCell="A3" zoomScale="70" zoomScaleNormal="70" workbookViewId="0">
      <selection activeCell="I18" sqref="I18"/>
    </sheetView>
  </sheetViews>
  <sheetFormatPr defaultRowHeight="15"/>
  <cols>
    <col min="1" max="1" width="18.08984375" style="38" customWidth="1"/>
    <col min="2" max="2" width="1.90625" style="38" customWidth="1"/>
    <col min="3" max="3" width="18.90625" style="38" customWidth="1"/>
    <col min="4" max="4" width="19" style="38" customWidth="1"/>
    <col min="5" max="5" width="20.08984375" style="38" customWidth="1"/>
    <col min="6" max="6" width="2.08984375" style="38" customWidth="1"/>
    <col min="7" max="7" width="3.6328125" style="38" customWidth="1"/>
    <col min="8" max="16384" width="8.7265625" style="38"/>
  </cols>
  <sheetData>
    <row r="7" spans="2:6" ht="15.5" customHeight="1" thickBot="1"/>
    <row r="8" spans="2:6" ht="8" customHeight="1" thickBot="1">
      <c r="B8" s="51"/>
      <c r="C8" s="52"/>
      <c r="D8" s="52"/>
      <c r="E8" s="52"/>
      <c r="F8" s="53"/>
    </row>
    <row r="9" spans="2:6">
      <c r="B9" s="54"/>
      <c r="C9" s="55"/>
      <c r="D9" s="56" t="s">
        <v>57</v>
      </c>
      <c r="E9" s="57" t="s">
        <v>58</v>
      </c>
      <c r="F9" s="58"/>
    </row>
    <row r="10" spans="2:6" ht="15.5" thickBot="1">
      <c r="B10" s="54"/>
      <c r="C10" s="55"/>
      <c r="D10" s="59">
        <f>+VLOOKUP($D$13,PLANTILLA!$A:$Y,15,FALSE)</f>
        <v>41614</v>
      </c>
      <c r="E10" s="60">
        <f ca="1">+TODAY()</f>
        <v>44294</v>
      </c>
      <c r="F10" s="58"/>
    </row>
    <row r="11" spans="2:6" ht="15.5" thickBot="1">
      <c r="B11" s="54"/>
      <c r="C11" s="55"/>
      <c r="D11" s="61"/>
      <c r="E11" s="61"/>
      <c r="F11" s="58"/>
    </row>
    <row r="12" spans="2:6">
      <c r="B12" s="54"/>
      <c r="C12" s="62" t="s">
        <v>54</v>
      </c>
      <c r="D12" s="63" t="s">
        <v>56</v>
      </c>
      <c r="E12" s="57" t="s">
        <v>60</v>
      </c>
      <c r="F12" s="58"/>
    </row>
    <row r="13" spans="2:6" ht="15.5" thickBot="1">
      <c r="B13" s="54"/>
      <c r="C13" s="64" t="str">
        <f>+VLOOKUP(D13,PLANTILLA!A:D,4,FALSE)</f>
        <v>Jose Gutierrez</v>
      </c>
      <c r="D13" s="96">
        <v>5</v>
      </c>
      <c r="E13" s="65">
        <f>+VLOOKUP($D$13,PLANTILLA!$A:$Y,5,FALSE)</f>
        <v>7665051</v>
      </c>
      <c r="F13" s="58"/>
    </row>
    <row r="14" spans="2:6" ht="15.5" thickBot="1">
      <c r="B14" s="54"/>
      <c r="C14" s="61"/>
      <c r="D14" s="61"/>
      <c r="E14" s="61"/>
      <c r="F14" s="58"/>
    </row>
    <row r="15" spans="2:6" ht="15.5" thickBot="1">
      <c r="B15" s="54"/>
      <c r="C15" s="66" t="s">
        <v>61</v>
      </c>
      <c r="D15" s="67" t="s">
        <v>62</v>
      </c>
      <c r="E15" s="68" t="s">
        <v>63</v>
      </c>
      <c r="F15" s="58"/>
    </row>
    <row r="16" spans="2:6" ht="15.5" thickBot="1">
      <c r="B16" s="54"/>
      <c r="C16" s="61"/>
      <c r="D16" s="61"/>
      <c r="E16" s="55"/>
      <c r="F16" s="58"/>
    </row>
    <row r="17" spans="2:6">
      <c r="B17" s="54"/>
      <c r="C17" s="69" t="s">
        <v>35</v>
      </c>
      <c r="D17" s="70">
        <f>+VLOOKUP($D$13,PLANTILLA!$A:$Y,8,FALSE)</f>
        <v>3200000</v>
      </c>
      <c r="E17" s="53"/>
      <c r="F17" s="58"/>
    </row>
    <row r="18" spans="2:6">
      <c r="B18" s="54"/>
      <c r="C18" s="54"/>
      <c r="D18" s="71"/>
      <c r="E18" s="58"/>
      <c r="F18" s="58"/>
    </row>
    <row r="19" spans="2:6">
      <c r="B19" s="54"/>
      <c r="C19" s="72" t="s">
        <v>64</v>
      </c>
      <c r="D19" s="71">
        <f>+'Ben y Apor'!C6</f>
        <v>150000</v>
      </c>
      <c r="E19" s="58"/>
      <c r="F19" s="58"/>
    </row>
    <row r="20" spans="2:6">
      <c r="B20" s="54"/>
      <c r="C20" s="54"/>
      <c r="D20" s="71"/>
      <c r="E20" s="58"/>
      <c r="F20" s="58"/>
    </row>
    <row r="21" spans="2:6" ht="15.5" thickBot="1">
      <c r="B21" s="54"/>
      <c r="C21" s="73" t="s">
        <v>65</v>
      </c>
      <c r="D21" s="74">
        <f>+'Ben y Apor'!C5</f>
        <v>180000</v>
      </c>
      <c r="E21" s="75"/>
      <c r="F21" s="58"/>
    </row>
    <row r="22" spans="2:6" ht="15.5" thickBot="1">
      <c r="B22" s="54"/>
      <c r="C22" s="55"/>
      <c r="D22" s="71"/>
      <c r="E22" s="55"/>
      <c r="F22" s="58"/>
    </row>
    <row r="23" spans="2:6">
      <c r="B23" s="54"/>
      <c r="C23" s="76" t="s">
        <v>66</v>
      </c>
      <c r="D23" s="52"/>
      <c r="E23" s="77">
        <f>+VLOOKUP($D$13,PLANTILLA!$A:$Y,12,FALSE)</f>
        <v>128000</v>
      </c>
      <c r="F23" s="58"/>
    </row>
    <row r="24" spans="2:6">
      <c r="B24" s="54"/>
      <c r="C24" s="78"/>
      <c r="D24" s="55"/>
      <c r="E24" s="79"/>
      <c r="F24" s="58"/>
    </row>
    <row r="25" spans="2:6" ht="15.5" thickBot="1">
      <c r="B25" s="54"/>
      <c r="C25" s="80" t="s">
        <v>67</v>
      </c>
      <c r="D25" s="81"/>
      <c r="E25" s="82">
        <f>+VLOOKUP($D$13,PLANTILLA!$A:$Y,12,FALSE)</f>
        <v>128000</v>
      </c>
      <c r="F25" s="58"/>
    </row>
    <row r="26" spans="2:6">
      <c r="B26" s="54"/>
      <c r="C26" s="83"/>
      <c r="D26" s="55"/>
      <c r="E26" s="55"/>
      <c r="F26" s="58"/>
    </row>
    <row r="27" spans="2:6">
      <c r="B27" s="54"/>
      <c r="C27" s="55"/>
      <c r="D27" s="55"/>
      <c r="E27" s="55"/>
      <c r="F27" s="58"/>
    </row>
    <row r="28" spans="2:6">
      <c r="B28" s="54"/>
      <c r="C28" s="83" t="s">
        <v>41</v>
      </c>
      <c r="D28" s="84">
        <f>+SUM(D17:D27)</f>
        <v>3530000</v>
      </c>
      <c r="E28" s="55"/>
      <c r="F28" s="58"/>
    </row>
    <row r="29" spans="2:6" ht="15.5" thickBot="1">
      <c r="B29" s="54"/>
      <c r="C29" s="85" t="s">
        <v>42</v>
      </c>
      <c r="D29" s="55"/>
      <c r="E29" s="71">
        <f>+SUM(E17:E27)</f>
        <v>256000</v>
      </c>
      <c r="F29" s="58"/>
    </row>
    <row r="30" spans="2:6" ht="15.5" thickBot="1">
      <c r="B30" s="54"/>
      <c r="C30" s="66" t="s">
        <v>68</v>
      </c>
      <c r="D30" s="86">
        <f>+D28-E29</f>
        <v>3274000</v>
      </c>
      <c r="E30" s="87"/>
      <c r="F30" s="58"/>
    </row>
    <row r="31" spans="2:6" ht="15.5" thickBot="1">
      <c r="B31" s="88"/>
      <c r="C31" s="81"/>
      <c r="D31" s="81"/>
      <c r="E31" s="81"/>
      <c r="F31" s="75"/>
    </row>
  </sheetData>
  <pageMargins left="0.25" right="0.25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8C48CF-587A-4F47-9829-EE7C76FD9D32}">
          <x14:formula1>
            <xm:f>PLANTILLA!$A$2:$A$11</xm:f>
          </x14:formula1>
          <xm:sqref>D13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85E3-D6C9-41A0-94BB-BA9F1550397F}">
  <sheetPr codeName="Sheet4"/>
  <dimension ref="C1:C11"/>
  <sheetViews>
    <sheetView showGridLines="0" zoomScale="150" zoomScaleNormal="150" workbookViewId="0">
      <selection activeCell="C9" sqref="C9"/>
    </sheetView>
  </sheetViews>
  <sheetFormatPr defaultRowHeight="15"/>
  <cols>
    <col min="1" max="1" width="8.7265625" style="89"/>
    <col min="2" max="2" width="25.36328125" style="89" customWidth="1"/>
    <col min="3" max="3" width="46.1796875" style="89" customWidth="1"/>
    <col min="4" max="16384" width="8.7265625" style="89"/>
  </cols>
  <sheetData>
    <row r="1" spans="3:3" ht="15.5" thickBot="1"/>
    <row r="2" spans="3:3" ht="15.5" thickBot="1">
      <c r="C2" s="90" t="s">
        <v>76</v>
      </c>
    </row>
    <row r="3" spans="3:3" ht="15.5" thickBot="1"/>
    <row r="4" spans="3:3" ht="15.5" thickBot="1">
      <c r="C4" s="90" t="s">
        <v>69</v>
      </c>
    </row>
    <row r="5" spans="3:3">
      <c r="C5" s="91" t="s">
        <v>70</v>
      </c>
    </row>
    <row r="6" spans="3:3">
      <c r="C6" s="92" t="s">
        <v>71</v>
      </c>
    </row>
    <row r="7" spans="3:3">
      <c r="C7" s="92" t="s">
        <v>72</v>
      </c>
    </row>
    <row r="8" spans="3:3">
      <c r="C8" s="92" t="s">
        <v>77</v>
      </c>
    </row>
    <row r="9" spans="3:3">
      <c r="C9" s="92" t="s">
        <v>73</v>
      </c>
    </row>
    <row r="10" spans="3:3">
      <c r="C10" s="92" t="s">
        <v>74</v>
      </c>
    </row>
    <row r="11" spans="3:3" ht="15.5" thickBot="1">
      <c r="C11" s="93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 y Apor</vt:lpstr>
      <vt:lpstr>PLANTILLA</vt:lpstr>
      <vt:lpstr>INFO EMPLEADO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Diaz Carvajal, Camilo</cp:lastModifiedBy>
  <cp:lastPrinted>2021-04-08T21:09:27Z</cp:lastPrinted>
  <dcterms:created xsi:type="dcterms:W3CDTF">2021-04-08T00:21:11Z</dcterms:created>
  <dcterms:modified xsi:type="dcterms:W3CDTF">2021-04-08T22:29:21Z</dcterms:modified>
</cp:coreProperties>
</file>